
<file path=[Content_Types].xml><?xml version="1.0" encoding="utf-8"?>
<Types xmlns="http://schemas.openxmlformats.org/package/2006/content-types">
  <Override PartName="/xl/pivotCache/pivotCacheDefinition1.xml" ContentType="application/vnd.openxmlformats-officedocument.spreadsheetml.pivotCacheDefinition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Tables/pivotTable2.xml" ContentType="application/vnd.openxmlformats-officedocument.spreadsheetml.pivotTable+xml"/>
  <Override PartName="/xl/charts/chart1.xml" ContentType="application/vnd.openxmlformats-officedocument.drawingml.chart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 autoCompressPictures="0"/>
  <bookViews>
    <workbookView xWindow="0" yWindow="0" windowWidth="20740" windowHeight="11020" tabRatio="500"/>
  </bookViews>
  <sheets>
    <sheet name="Summary" sheetId="1" r:id="rId1"/>
    <sheet name="Charts" sheetId="9" r:id="rId2"/>
    <sheet name="Balance Sheet" sheetId="10" r:id="rId3"/>
    <sheet name="P&amp;L" sheetId="2" r:id="rId4"/>
    <sheet name="PAYROLL" sheetId="3" r:id="rId5"/>
  </sheets>
  <definedNames>
    <definedName name="_xlnm.Print_Area" localSheetId="1">Charts!$A$1:$F$51</definedName>
    <definedName name="_xlnm.Print_Area" localSheetId="3">'P&amp;L'!$A$1:$G$134</definedName>
    <definedName name="_xlnm.Print_Area" localSheetId="0">Summary!$A$1:$D$47</definedName>
    <definedName name="_xlnm.Print_Titles" localSheetId="3">'P&amp;L'!$A:$D,'P&amp;L'!$1:$2</definedName>
    <definedName name="_xlnm.Print_Titles" localSheetId="4">PAYROLL!$1:$4</definedName>
  </definedNames>
  <calcPr calcId="130407"/>
  <pivotCaches>
    <pivotCache cacheId="0" r:id="rId6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5" i="10"/>
  <c r="C45"/>
  <c r="F16"/>
  <c r="F40"/>
  <c r="E40"/>
  <c r="F17"/>
  <c r="F41"/>
  <c r="F23"/>
  <c r="F43"/>
  <c r="F44"/>
  <c r="F45"/>
  <c r="F46"/>
  <c r="F48"/>
  <c r="E17"/>
  <c r="E41"/>
  <c r="E23"/>
  <c r="E43"/>
  <c r="E44"/>
  <c r="E45"/>
  <c r="E46"/>
  <c r="E48"/>
  <c r="F38"/>
  <c r="E38"/>
  <c r="F30"/>
  <c r="E30"/>
  <c r="D23"/>
  <c r="C23"/>
  <c r="D17"/>
  <c r="C17"/>
  <c r="D10"/>
  <c r="E10"/>
  <c r="F10"/>
  <c r="C10"/>
  <c r="D45" i="9"/>
  <c r="D47"/>
  <c r="D46"/>
  <c r="D49"/>
  <c r="D50"/>
  <c r="D48"/>
  <c r="K31" i="3"/>
  <c r="K6"/>
  <c r="D7"/>
  <c r="D6"/>
  <c r="D5"/>
  <c r="D8"/>
  <c r="D26"/>
  <c r="D9"/>
  <c r="N9"/>
  <c r="D11"/>
  <c r="D12"/>
  <c r="E5"/>
  <c r="E6"/>
  <c r="E11"/>
  <c r="E12"/>
  <c r="F6"/>
  <c r="F11"/>
  <c r="F12"/>
  <c r="G6"/>
  <c r="G11"/>
  <c r="G12"/>
  <c r="H12"/>
  <c r="I6"/>
  <c r="I11"/>
  <c r="I12"/>
  <c r="J31"/>
  <c r="J6"/>
  <c r="J12"/>
  <c r="K12"/>
  <c r="L6"/>
  <c r="L8"/>
  <c r="L11"/>
  <c r="L12"/>
  <c r="M6"/>
  <c r="M11"/>
  <c r="M12"/>
  <c r="O12"/>
  <c r="K20"/>
  <c r="K17"/>
  <c r="K71"/>
  <c r="K72"/>
  <c r="K74"/>
  <c r="B62"/>
  <c r="K23"/>
  <c r="K24"/>
  <c r="K25"/>
  <c r="K5"/>
  <c r="K26"/>
  <c r="K27"/>
  <c r="K29"/>
  <c r="G5"/>
  <c r="G26"/>
  <c r="M5"/>
  <c r="M26"/>
  <c r="L5"/>
  <c r="L26"/>
  <c r="J5"/>
  <c r="J26"/>
  <c r="I5"/>
  <c r="I26"/>
  <c r="H5"/>
  <c r="H26"/>
  <c r="F5"/>
  <c r="F26"/>
  <c r="E26"/>
  <c r="H25"/>
  <c r="H37"/>
  <c r="L25"/>
  <c r="C33"/>
  <c r="C8"/>
  <c r="N8"/>
  <c r="N10"/>
  <c r="J23"/>
  <c r="J24"/>
  <c r="J25"/>
  <c r="J27"/>
  <c r="J29"/>
  <c r="N26"/>
  <c r="N59"/>
  <c r="N60"/>
  <c r="N121"/>
  <c r="N120"/>
  <c r="N83"/>
  <c r="G85"/>
  <c r="D87"/>
  <c r="D89"/>
  <c r="N85"/>
  <c r="E91"/>
  <c r="E93"/>
  <c r="E99"/>
  <c r="E101"/>
  <c r="E72"/>
  <c r="D93"/>
  <c r="D94"/>
  <c r="D102"/>
  <c r="D127"/>
  <c r="D131"/>
  <c r="M122"/>
  <c r="L122"/>
  <c r="I122"/>
  <c r="G122"/>
  <c r="F122"/>
  <c r="E122"/>
  <c r="I125"/>
  <c r="E125"/>
  <c r="F125"/>
  <c r="G125"/>
  <c r="G129"/>
  <c r="G132"/>
  <c r="C31"/>
  <c r="N31"/>
  <c r="C32"/>
  <c r="N32"/>
  <c r="N33"/>
  <c r="C34"/>
  <c r="D34"/>
  <c r="E34"/>
  <c r="F34"/>
  <c r="G34"/>
  <c r="I34"/>
  <c r="L34"/>
  <c r="M34"/>
  <c r="N34"/>
  <c r="N37"/>
  <c r="C22"/>
  <c r="C23"/>
  <c r="C24"/>
  <c r="C29"/>
  <c r="C7"/>
  <c r="C11"/>
  <c r="E37"/>
  <c r="B71"/>
  <c r="L39"/>
  <c r="H39"/>
  <c r="I37"/>
  <c r="F37"/>
  <c r="G37"/>
  <c r="L37"/>
  <c r="M37"/>
  <c r="K37"/>
  <c r="J37"/>
  <c r="D37"/>
  <c r="E135"/>
  <c r="E19"/>
  <c r="E128"/>
  <c r="E124"/>
  <c r="E131"/>
  <c r="E18"/>
  <c r="E138"/>
  <c r="F138"/>
  <c r="G138"/>
  <c r="I138"/>
  <c r="L138"/>
  <c r="M138"/>
  <c r="N138"/>
  <c r="E20"/>
  <c r="E25"/>
  <c r="D25"/>
  <c r="F25"/>
  <c r="G25"/>
  <c r="I25"/>
  <c r="M25"/>
  <c r="N25"/>
  <c r="G92"/>
  <c r="G100"/>
  <c r="G91"/>
  <c r="G93"/>
  <c r="G94"/>
  <c r="G95"/>
  <c r="G99"/>
  <c r="G101"/>
  <c r="G135"/>
  <c r="G19"/>
  <c r="G128"/>
  <c r="G124"/>
  <c r="G131"/>
  <c r="G18"/>
  <c r="G20"/>
  <c r="H71"/>
  <c r="H72"/>
  <c r="H74"/>
  <c r="H17"/>
  <c r="H18"/>
  <c r="H19"/>
  <c r="H20"/>
  <c r="I129"/>
  <c r="I132"/>
  <c r="I84"/>
  <c r="I92"/>
  <c r="I91"/>
  <c r="I93"/>
  <c r="I94"/>
  <c r="I95"/>
  <c r="I135"/>
  <c r="I19"/>
  <c r="I128"/>
  <c r="F128"/>
  <c r="L128"/>
  <c r="M128"/>
  <c r="N128"/>
  <c r="I124"/>
  <c r="I20"/>
  <c r="L129"/>
  <c r="L125"/>
  <c r="L132"/>
  <c r="L72"/>
  <c r="L71"/>
  <c r="L74"/>
  <c r="L124"/>
  <c r="L131"/>
  <c r="L18"/>
  <c r="L17"/>
  <c r="L135"/>
  <c r="L19"/>
  <c r="L20"/>
  <c r="D140"/>
  <c r="D20"/>
  <c r="F20"/>
  <c r="M20"/>
  <c r="N20"/>
  <c r="M129"/>
  <c r="M125"/>
  <c r="M132"/>
  <c r="M91"/>
  <c r="M99"/>
  <c r="M84"/>
  <c r="M92"/>
  <c r="M100"/>
  <c r="M101"/>
  <c r="M135"/>
  <c r="M19"/>
  <c r="M131"/>
  <c r="M18"/>
  <c r="F129"/>
  <c r="F132"/>
  <c r="F91"/>
  <c r="F99"/>
  <c r="F101"/>
  <c r="F103"/>
  <c r="F104"/>
  <c r="C27"/>
  <c r="D137"/>
  <c r="N137"/>
  <c r="D19"/>
  <c r="F135"/>
  <c r="N135"/>
  <c r="D130"/>
  <c r="D126"/>
  <c r="D133"/>
  <c r="D18"/>
  <c r="F124"/>
  <c r="F131"/>
  <c r="F18"/>
  <c r="I131"/>
  <c r="I18"/>
  <c r="N18"/>
  <c r="F93"/>
  <c r="F94"/>
  <c r="F95"/>
  <c r="M142"/>
  <c r="L142"/>
  <c r="K142"/>
  <c r="J142"/>
  <c r="I142"/>
  <c r="H142"/>
  <c r="G142"/>
  <c r="F142"/>
  <c r="E142"/>
  <c r="E129"/>
  <c r="N129"/>
  <c r="D124"/>
  <c r="N124"/>
  <c r="M126"/>
  <c r="E116"/>
  <c r="H117"/>
  <c r="L117"/>
  <c r="F87"/>
  <c r="F88"/>
  <c r="F89"/>
  <c r="G87"/>
  <c r="G88"/>
  <c r="G89"/>
  <c r="I87"/>
  <c r="I88"/>
  <c r="I89"/>
  <c r="M87"/>
  <c r="M88"/>
  <c r="M89"/>
  <c r="F86"/>
  <c r="M86"/>
  <c r="G86"/>
  <c r="I86"/>
  <c r="F84"/>
  <c r="A3"/>
  <c r="M50"/>
  <c r="B107"/>
  <c r="B98"/>
  <c r="A108"/>
  <c r="B65"/>
  <c r="N127"/>
  <c r="B129"/>
  <c r="B66"/>
  <c r="B47"/>
  <c r="P47"/>
  <c r="A47"/>
  <c r="B46"/>
  <c r="P46"/>
  <c r="A46"/>
  <c r="B45"/>
  <c r="P45"/>
  <c r="A45"/>
  <c r="B44"/>
  <c r="P44"/>
  <c r="A44"/>
  <c r="E87"/>
  <c r="E88"/>
  <c r="E86"/>
  <c r="N86"/>
  <c r="E84"/>
  <c r="N84"/>
  <c r="G96"/>
  <c r="G97"/>
  <c r="G17"/>
  <c r="M93"/>
  <c r="M94"/>
  <c r="M95"/>
  <c r="D95"/>
  <c r="D101"/>
  <c r="N122"/>
  <c r="N125"/>
  <c r="M39"/>
  <c r="G39"/>
  <c r="N87"/>
  <c r="F72"/>
  <c r="F116"/>
  <c r="N132"/>
  <c r="N92"/>
  <c r="I100"/>
  <c r="N100"/>
  <c r="I72"/>
  <c r="I116"/>
  <c r="F105"/>
  <c r="F106"/>
  <c r="F71"/>
  <c r="F74"/>
  <c r="M112"/>
  <c r="M113"/>
  <c r="M103"/>
  <c r="M104"/>
  <c r="M102"/>
  <c r="F19"/>
  <c r="N19"/>
  <c r="G72"/>
  <c r="M72"/>
  <c r="N72"/>
  <c r="G116"/>
  <c r="M116"/>
  <c r="N131"/>
  <c r="E94"/>
  <c r="N93"/>
  <c r="I96"/>
  <c r="I97"/>
  <c r="I17"/>
  <c r="F96"/>
  <c r="F97"/>
  <c r="F17"/>
  <c r="G103"/>
  <c r="G104"/>
  <c r="G112"/>
  <c r="G113"/>
  <c r="G102"/>
  <c r="M96"/>
  <c r="M97"/>
  <c r="M17"/>
  <c r="D90"/>
  <c r="E89"/>
  <c r="N89"/>
  <c r="D91"/>
  <c r="N91"/>
  <c r="D103"/>
  <c r="E102"/>
  <c r="D96"/>
  <c r="D88"/>
  <c r="N88"/>
  <c r="N126"/>
  <c r="F102"/>
  <c r="E103"/>
  <c r="E104"/>
  <c r="D134"/>
  <c r="E112"/>
  <c r="D78"/>
  <c r="I99"/>
  <c r="F112"/>
  <c r="F113"/>
  <c r="E95"/>
  <c r="N94"/>
  <c r="F114"/>
  <c r="F115"/>
  <c r="F117"/>
  <c r="G114"/>
  <c r="G115"/>
  <c r="G117"/>
  <c r="M114"/>
  <c r="M115"/>
  <c r="M117"/>
  <c r="D97"/>
  <c r="E113"/>
  <c r="D118"/>
  <c r="N134"/>
  <c r="D74"/>
  <c r="G105"/>
  <c r="G106"/>
  <c r="G71"/>
  <c r="G74"/>
  <c r="I101"/>
  <c r="D114"/>
  <c r="D104"/>
  <c r="D105"/>
  <c r="E105"/>
  <c r="E106"/>
  <c r="E71"/>
  <c r="M105"/>
  <c r="M106"/>
  <c r="M71"/>
  <c r="M74"/>
  <c r="E74"/>
  <c r="E114"/>
  <c r="E115"/>
  <c r="E117"/>
  <c r="I103"/>
  <c r="I112"/>
  <c r="I102"/>
  <c r="N102"/>
  <c r="N101"/>
  <c r="D106"/>
  <c r="E96"/>
  <c r="N96"/>
  <c r="E97"/>
  <c r="E17"/>
  <c r="N95"/>
  <c r="D115"/>
  <c r="D98"/>
  <c r="D99"/>
  <c r="F24"/>
  <c r="F23"/>
  <c r="N99"/>
  <c r="D17"/>
  <c r="N17"/>
  <c r="N21"/>
  <c r="N97"/>
  <c r="D116"/>
  <c r="N116"/>
  <c r="D117"/>
  <c r="D107"/>
  <c r="D108"/>
  <c r="D73"/>
  <c r="D76"/>
  <c r="I104"/>
  <c r="N103"/>
  <c r="I113"/>
  <c r="N112"/>
  <c r="F27"/>
  <c r="F29"/>
  <c r="I105"/>
  <c r="N105"/>
  <c r="I106"/>
  <c r="N104"/>
  <c r="D119"/>
  <c r="I114"/>
  <c r="N114"/>
  <c r="N113"/>
  <c r="I71"/>
  <c r="N106"/>
  <c r="I115"/>
  <c r="I117"/>
  <c r="N117"/>
  <c r="N115"/>
  <c r="I74"/>
  <c r="N71"/>
  <c r="N74"/>
  <c r="C6"/>
  <c r="C5"/>
  <c r="G23"/>
  <c r="G24"/>
  <c r="I23"/>
  <c r="L24"/>
  <c r="I39"/>
  <c r="C21"/>
  <c r="C39"/>
  <c r="E39"/>
  <c r="N39"/>
  <c r="E76"/>
  <c r="G27"/>
  <c r="G29"/>
  <c r="N6"/>
  <c r="I24"/>
  <c r="I27"/>
  <c r="I29"/>
  <c r="L23"/>
  <c r="L27"/>
  <c r="L29"/>
  <c r="H40"/>
  <c r="H24"/>
  <c r="H23"/>
  <c r="H27"/>
  <c r="H29"/>
  <c r="M23"/>
  <c r="M24"/>
  <c r="M40"/>
  <c r="E24"/>
  <c r="E23"/>
  <c r="E27"/>
  <c r="E29"/>
  <c r="M27"/>
  <c r="M29"/>
  <c r="N11"/>
  <c r="N7"/>
  <c r="N12"/>
  <c r="N5"/>
  <c r="D24"/>
  <c r="N24"/>
  <c r="D23"/>
  <c r="D27"/>
  <c r="D29"/>
  <c r="O29"/>
  <c r="N23"/>
  <c r="O24"/>
  <c r="N27"/>
  <c r="N29"/>
  <c r="N51"/>
  <c r="N53"/>
  <c r="N61"/>
</calcChain>
</file>

<file path=xl/sharedStrings.xml><?xml version="1.0" encoding="utf-8"?>
<sst xmlns="http://schemas.openxmlformats.org/spreadsheetml/2006/main" count="399" uniqueCount="350">
  <si>
    <t>5034.1-Asst Sexton</t>
  </si>
  <si>
    <t>5.23.14</t>
  </si>
  <si>
    <t xml:space="preserve">Misc, </t>
  </si>
  <si>
    <t>IM,BM,YD,REA,SA</t>
  </si>
  <si>
    <t>COLA eff 1/1,skip</t>
  </si>
  <si>
    <t>Operating</t>
  </si>
  <si>
    <t>Combined</t>
  </si>
  <si>
    <t>Year</t>
  </si>
  <si>
    <t>FYE 6/30/2014 *</t>
  </si>
  <si>
    <t>Significant Changes from Last Year</t>
  </si>
  <si>
    <t>Lower Pledges</t>
  </si>
  <si>
    <t>Youth Coord 16 to 10 hrs</t>
  </si>
  <si>
    <t>Interim Minister Increased Cost</t>
  </si>
  <si>
    <t>Reduced Sheila Lane Exp</t>
  </si>
  <si>
    <t>BOT, Ann Meet &amp; Canvass</t>
  </si>
  <si>
    <t>Increase reserve payment</t>
  </si>
  <si>
    <t>Cost of Living Increase 1%</t>
  </si>
  <si>
    <t>Minister 1 month sabattical</t>
  </si>
  <si>
    <t>Increase facility fees</t>
  </si>
  <si>
    <t>Increased fundraising</t>
  </si>
  <si>
    <t>Use Jan Park gift for SJ Director</t>
  </si>
  <si>
    <t>Misc Increase expenses</t>
  </si>
  <si>
    <t>vs. 2014</t>
  </si>
  <si>
    <t>Worship</t>
  </si>
  <si>
    <t>Social Justice</t>
  </si>
  <si>
    <t>Music</t>
  </si>
  <si>
    <t>Category</t>
  </si>
  <si>
    <t>Pledges</t>
  </si>
  <si>
    <t>Non-Pledge Gifts</t>
  </si>
  <si>
    <t>Special Gifts</t>
  </si>
  <si>
    <t>Rentals</t>
  </si>
  <si>
    <t>Administration</t>
  </si>
  <si>
    <t>Religious Education</t>
  </si>
  <si>
    <t>Building and Grounds</t>
  </si>
  <si>
    <t>Grand Total</t>
  </si>
  <si>
    <t>Sum of 2015</t>
  </si>
  <si>
    <t>Past Year Actual Income and Expenses</t>
  </si>
  <si>
    <t>Income Breakdown</t>
  </si>
  <si>
    <t>Expense Breakdown</t>
  </si>
  <si>
    <t>CONSOLIDATED</t>
  </si>
  <si>
    <t>General Reserves</t>
  </si>
  <si>
    <t>Sheila Lane Losses</t>
  </si>
  <si>
    <t>Major Maint Reserve</t>
  </si>
  <si>
    <t>Capital Reserve</t>
  </si>
  <si>
    <t>Equity</t>
  </si>
  <si>
    <t>Sheila Lane Mortgage</t>
  </si>
  <si>
    <t>Endowment Loan</t>
  </si>
  <si>
    <t>Liabilities</t>
  </si>
  <si>
    <t>Other Assets</t>
  </si>
  <si>
    <t>Sheila Lane Property</t>
  </si>
  <si>
    <t>Checking/Savings</t>
  </si>
  <si>
    <t>Assets</t>
  </si>
  <si>
    <t>OPERATING</t>
  </si>
  <si>
    <t>Edith Freid Bequest</t>
  </si>
  <si>
    <t>Jan Park SJ Bequest</t>
  </si>
  <si>
    <t>ENDOWMENT</t>
  </si>
  <si>
    <t>Newberger &amp; Berman</t>
  </si>
  <si>
    <t>UU Common Fund</t>
  </si>
  <si>
    <t>Vanguard MM</t>
  </si>
  <si>
    <t>Music Fund</t>
  </si>
  <si>
    <t>SL Loan - non-performing</t>
  </si>
  <si>
    <t>Endowment</t>
  </si>
  <si>
    <t>Property</t>
  </si>
  <si>
    <t>Total Liabilities and Equity</t>
  </si>
  <si>
    <t>Consolidation</t>
  </si>
  <si>
    <t>Before</t>
  </si>
  <si>
    <t>After</t>
  </si>
  <si>
    <t>Other Liabilities (funds, etc)</t>
  </si>
  <si>
    <t>Balance Sheet</t>
  </si>
  <si>
    <t>Endowment Equity</t>
  </si>
  <si>
    <t>* 2014 numbers are budgeted</t>
  </si>
  <si>
    <t>Total Administrative</t>
  </si>
  <si>
    <t>Dental   Ann. Date 1/1</t>
  </si>
  <si>
    <t>11.08.61</t>
  </si>
  <si>
    <t>3.29.68</t>
  </si>
  <si>
    <t>First 6 months</t>
  </si>
  <si>
    <t>Total- Employee only pdby Church 6 Mo</t>
  </si>
  <si>
    <t>Total Optional Dep pd 100% by Emp 6 mo</t>
  </si>
  <si>
    <t>Last 6 months</t>
  </si>
  <si>
    <t>Fiscal Year 2014</t>
  </si>
  <si>
    <t>Dental increase effective 1/1</t>
  </si>
  <si>
    <t xml:space="preserve">FYE 6/30/2012 </t>
  </si>
  <si>
    <t xml:space="preserve"> </t>
  </si>
  <si>
    <t>sr</t>
  </si>
  <si>
    <t>2015 Budget Summary</t>
  </si>
  <si>
    <t>BUDGET 2015</t>
  </si>
  <si>
    <t>2015 Bud</t>
  </si>
  <si>
    <t>v. 2014 B</t>
  </si>
  <si>
    <t xml:space="preserve">FYE 6/30/2013 </t>
  </si>
  <si>
    <t>Note</t>
  </si>
  <si>
    <t>One-time bonus if applic</t>
  </si>
  <si>
    <t>Moving Exp-Relocation</t>
  </si>
  <si>
    <t>Annual</t>
  </si>
  <si>
    <t>With no inc use 0 in  C49</t>
  </si>
  <si>
    <t>M</t>
  </si>
  <si>
    <t>Unempl Ins Max Inc Taxable</t>
  </si>
  <si>
    <t>5035.2 - DSJ expenses</t>
  </si>
  <si>
    <t>Administrative</t>
  </si>
  <si>
    <t>RE Admin. Asst.</t>
  </si>
  <si>
    <t>@100% 12mo</t>
  </si>
  <si>
    <t>FYE 6/30/15 Total Cost of Dental to Church</t>
  </si>
  <si>
    <t>FYE 6/30/15 Total Cost of Dental to Emp</t>
  </si>
  <si>
    <t>Medical Plan (Ann 1/1) mo rate 2014</t>
  </si>
  <si>
    <t>Estimated 2nd 6 mos  Eff. 1/1/2015</t>
  </si>
  <si>
    <t>FYE 6/30/2015 Total Cost of Plan</t>
  </si>
  <si>
    <t>FYE 6/30/2015</t>
  </si>
  <si>
    <t>Medicare Rate (apply to all wages)</t>
  </si>
  <si>
    <t>Employee FSA no longer offered</t>
  </si>
  <si>
    <t>(note need to adj if sal inc,or med)</t>
  </si>
  <si>
    <t>Month (Salary per PR Jan 2014)</t>
  </si>
  <si>
    <t>Social Security</t>
  </si>
  <si>
    <t>Social Security Max</t>
  </si>
  <si>
    <t>Social Security Rate</t>
  </si>
  <si>
    <t>Social Security $ Max</t>
  </si>
  <si>
    <t>FICA:Soc. Sec. and Medicare Rate Total</t>
  </si>
  <si>
    <t>FICA &amp; Pension Grossup</t>
  </si>
  <si>
    <t>5023. FICA: SS and Medicare Tax</t>
  </si>
  <si>
    <t xml:space="preserve">? New </t>
  </si>
  <si>
    <t>adj per rf,</t>
  </si>
  <si>
    <t>just movrd</t>
  </si>
  <si>
    <t>moved 5538</t>
  </si>
  <si>
    <t>5035 - Social Justice/Membership</t>
  </si>
  <si>
    <t>RE Assist</t>
  </si>
  <si>
    <t>10 hrs</t>
  </si>
  <si>
    <t>In lieu of SS &amp; MC</t>
  </si>
  <si>
    <t>per contract</t>
  </si>
  <si>
    <t>Total  ----. Fund &amp; Reserve Oblig.</t>
  </si>
  <si>
    <t>Fund &amp; Reserve Obligations</t>
  </si>
  <si>
    <t xml:space="preserve">    5936. Minister Ordination &amp; Search</t>
  </si>
  <si>
    <t>Minister Search Comm</t>
  </si>
  <si>
    <t>Background Checks</t>
  </si>
  <si>
    <t>Sexton Asst</t>
  </si>
  <si>
    <t>Net Pledge &amp; Gift Rec.</t>
  </si>
  <si>
    <t xml:space="preserve">in lieu of FICA </t>
  </si>
  <si>
    <t>RE Admin Assistant</t>
  </si>
  <si>
    <t>Increase Nursery School Rent</t>
  </si>
  <si>
    <t>Operating Budget 2014-2015</t>
  </si>
  <si>
    <t>Employee % Fulltime (furlough)</t>
  </si>
  <si>
    <t>Senior minister % fulltime (furlough)</t>
  </si>
  <si>
    <t>1% Salary increase effective 1/1</t>
  </si>
  <si>
    <t>Youth Coord salary adj</t>
  </si>
  <si>
    <t>12 hrs</t>
  </si>
  <si>
    <t>$15 hr,12hr</t>
  </si>
  <si>
    <t>$20 hr, 10</t>
  </si>
  <si>
    <t>Workers' Compensation Admin per $100 pr</t>
  </si>
  <si>
    <t>Workers' Compensation Sext per $100 pr</t>
  </si>
  <si>
    <t>5531- Music Program</t>
  </si>
  <si>
    <t>5030.1 -Church Administrator</t>
  </si>
  <si>
    <t>5033.1 5043-Director RE</t>
  </si>
  <si>
    <t>5034.1 5044-Sexton</t>
  </si>
  <si>
    <t>LTD Insurance per mo pd by Church</t>
    <phoneticPr fontId="13" type="noConversion"/>
  </si>
  <si>
    <t>LTD Insurance Annual Cost</t>
    <phoneticPr fontId="13" type="noConversion"/>
  </si>
  <si>
    <t>5019 Total "Other Compensation"</t>
  </si>
  <si>
    <t>5020. -Other Pensions</t>
    <phoneticPr fontId="6" type="noConversion"/>
  </si>
  <si>
    <t>5028.1 -Business Manager</t>
  </si>
  <si>
    <t>Minister</t>
  </si>
  <si>
    <t>Bus Mgr</t>
  </si>
  <si>
    <t>Youth Dir</t>
  </si>
  <si>
    <t>Dir Relig</t>
  </si>
  <si>
    <t>Soc Just</t>
  </si>
  <si>
    <t>Office Asst</t>
  </si>
  <si>
    <t>of Music</t>
  </si>
  <si>
    <t>40 hrs</t>
  </si>
  <si>
    <t>Education</t>
  </si>
  <si>
    <t>20 hrs</t>
  </si>
  <si>
    <t>Total</t>
  </si>
  <si>
    <t>Salary+Housing</t>
  </si>
  <si>
    <t>housing allowance (election)</t>
  </si>
  <si>
    <t>Expense allowance</t>
  </si>
  <si>
    <t>Moving Expense</t>
  </si>
  <si>
    <t>Pension (election)</t>
    <phoneticPr fontId="13" type="noConversion"/>
  </si>
  <si>
    <t>Total direct compensation</t>
    <phoneticPr fontId="13" type="noConversion"/>
  </si>
  <si>
    <t>Church Portion of Expense</t>
    <phoneticPr fontId="13" type="noConversion"/>
  </si>
  <si>
    <t>Dental (election)100%</t>
    <phoneticPr fontId="13" type="noConversion"/>
  </si>
  <si>
    <t>Life (election)100%</t>
    <phoneticPr fontId="13" type="noConversion"/>
  </si>
  <si>
    <t>LTD (election)100%</t>
    <phoneticPr fontId="13" type="noConversion"/>
  </si>
  <si>
    <t>Total  5269- Utilities</t>
  </si>
  <si>
    <t>Total  5309- Building Maintenance</t>
  </si>
  <si>
    <t>Income</t>
  </si>
  <si>
    <t>Total Income</t>
  </si>
  <si>
    <t>Voluntary Contrib</t>
  </si>
  <si>
    <t>Fundraising</t>
  </si>
  <si>
    <t>Facility Use</t>
  </si>
  <si>
    <t>Utils, Maint, Insur</t>
  </si>
  <si>
    <t>Programs &amp; Services</t>
  </si>
  <si>
    <t>Miscellaneous</t>
  </si>
  <si>
    <t>Accounting,Audit,Bank &amp; Cr. Card</t>
  </si>
  <si>
    <t>Total Expenses</t>
  </si>
  <si>
    <t>Net Income/Loss</t>
  </si>
  <si>
    <t>Plus PREM ADJ</t>
  </si>
  <si>
    <t>11.16.50</t>
  </si>
  <si>
    <t>12.10.50</t>
  </si>
  <si>
    <t>Total Pledge Income</t>
  </si>
  <si>
    <t>5024- Medical,Dental,Life,LTD</t>
  </si>
  <si>
    <t xml:space="preserve">Total Compensation </t>
  </si>
  <si>
    <t>With staff inc</t>
  </si>
  <si>
    <t>Increase</t>
  </si>
  <si>
    <t>Comp &amp; Ben</t>
  </si>
  <si>
    <t>Sheila Lane</t>
  </si>
  <si>
    <t>Total  4269. Facility Fee Income</t>
  </si>
  <si>
    <t xml:space="preserve">FYE 6/30/2011 </t>
  </si>
  <si>
    <t xml:space="preserve">FYE 6/30/2010 </t>
  </si>
  <si>
    <t xml:space="preserve">FYE 6/30/2009 </t>
  </si>
  <si>
    <t>Total RE &amp; Youth Programs</t>
  </si>
  <si>
    <t>Total Social Justice Program</t>
  </si>
  <si>
    <t>Total Minor Programs</t>
  </si>
  <si>
    <t>Accounting Svc</t>
  </si>
  <si>
    <t>Total Increase</t>
  </si>
  <si>
    <t>If same staff inc</t>
  </si>
  <si>
    <t>IF Increase</t>
  </si>
  <si>
    <t xml:space="preserve">Budget Income </t>
  </si>
  <si>
    <t xml:space="preserve">Budget Expenses </t>
  </si>
  <si>
    <t xml:space="preserve">Workers Comp (Total ann prem $5,780/8 rounded) </t>
  </si>
  <si>
    <t>5031 - Youth HS Program Dir</t>
  </si>
  <si>
    <t xml:space="preserve">Total </t>
  </si>
  <si>
    <t>Denominational</t>
  </si>
  <si>
    <t>5701. UUA Annual Contribution</t>
  </si>
  <si>
    <t>5702. UUA Metro Annual Contribution</t>
  </si>
  <si>
    <t>Other Income</t>
  </si>
  <si>
    <t>Expense</t>
  </si>
  <si>
    <t>5924 · Board of Trustees</t>
  </si>
  <si>
    <t>5926 · Annual Meeting Expenses</t>
  </si>
  <si>
    <t xml:space="preserve">5010 Interim Minister </t>
  </si>
  <si>
    <t xml:space="preserve">Total '5010 Interim Minister </t>
  </si>
  <si>
    <t>Salary</t>
  </si>
  <si>
    <t>Interim</t>
  </si>
  <si>
    <t>Full Cost Age &amp; Zip Code Based</t>
    <phoneticPr fontId="6" type="noConversion"/>
  </si>
  <si>
    <t xml:space="preserve">Denominational </t>
    <phoneticPr fontId="6" type="noConversion"/>
  </si>
  <si>
    <t>Total Office Sup, Services &amp; Equip</t>
    <phoneticPr fontId="6" type="noConversion"/>
  </si>
  <si>
    <t>Pct of employee medical pd by Church</t>
    <phoneticPr fontId="13" type="noConversion"/>
  </si>
  <si>
    <t>Pct of family medical pd by Church</t>
    <phoneticPr fontId="13" type="noConversion"/>
  </si>
  <si>
    <t>Unempl Ins Rate</t>
  </si>
  <si>
    <t>Unempl Ins Max per yr</t>
    <phoneticPr fontId="13" type="noConversion"/>
  </si>
  <si>
    <t>Unempl Ins Max</t>
    <phoneticPr fontId="13" type="noConversion"/>
  </si>
  <si>
    <t>Pension Grossup</t>
  </si>
  <si>
    <t>5040 Total, Minister of Music</t>
    <phoneticPr fontId="6" type="noConversion"/>
  </si>
  <si>
    <t>5019 "Other Compensation"</t>
  </si>
  <si>
    <t>Total  5379- Church Insurance</t>
  </si>
  <si>
    <t>Total  5709. Denominational</t>
  </si>
  <si>
    <t>5809. Annual Canvass</t>
  </si>
  <si>
    <t>5920. External Audit</t>
  </si>
  <si>
    <t>5927. Accounting Services</t>
  </si>
  <si>
    <t>5949. Miscellaneous Expense</t>
  </si>
  <si>
    <t xml:space="preserve"> Budget</t>
    <phoneticPr fontId="6" type="noConversion"/>
  </si>
  <si>
    <t>Emp Med (elect) Church portion</t>
    <phoneticPr fontId="13" type="noConversion"/>
  </si>
  <si>
    <t>Medicare</t>
  </si>
  <si>
    <t>Depend dental pd by employee</t>
    <phoneticPr fontId="13" type="noConversion"/>
  </si>
  <si>
    <t>Total</t>
    <phoneticPr fontId="13" type="noConversion"/>
  </si>
  <si>
    <t>Employee only pd by church per mo</t>
    <phoneticPr fontId="6" type="noConversion"/>
  </si>
  <si>
    <t>Church payroll-summary data -- Budget Forecast</t>
  </si>
  <si>
    <t>Employee Med Contrib exempt fm FICA</t>
    <phoneticPr fontId="13" type="noConversion"/>
  </si>
  <si>
    <t xml:space="preserve"> Employee pay Med mo</t>
    <phoneticPr fontId="13" type="noConversion"/>
  </si>
  <si>
    <t>Employee pay Med Semi ann</t>
    <phoneticPr fontId="13" type="noConversion"/>
  </si>
  <si>
    <t>Total Est Med for FY</t>
    <phoneticPr fontId="13" type="noConversion"/>
  </si>
  <si>
    <t>Full time equivalent</t>
  </si>
  <si>
    <t>FTE</t>
  </si>
  <si>
    <t>Special Notes and Assumptions:</t>
    <phoneticPr fontId="13" type="noConversion"/>
  </si>
  <si>
    <t>full year</t>
    <phoneticPr fontId="13" type="noConversion"/>
  </si>
  <si>
    <t>5026- Unemployment Insurance</t>
  </si>
  <si>
    <t>5029 Total PR Taxes &amp; Benefits</t>
  </si>
  <si>
    <t>5008 Total Compensation</t>
  </si>
  <si>
    <t>DETAIL</t>
    <phoneticPr fontId="6" type="noConversion"/>
  </si>
  <si>
    <t>half year</t>
    <phoneticPr fontId="13" type="noConversion"/>
  </si>
  <si>
    <t>2/3 year</t>
    <phoneticPr fontId="13" type="noConversion"/>
  </si>
  <si>
    <t>Employee</t>
    <phoneticPr fontId="6" type="noConversion"/>
  </si>
  <si>
    <t>Depend</t>
    <phoneticPr fontId="6" type="noConversion"/>
  </si>
  <si>
    <t>Total- Mo</t>
    <phoneticPr fontId="6" type="noConversion"/>
  </si>
  <si>
    <t>12 months</t>
    <phoneticPr fontId="6" type="noConversion"/>
  </si>
  <si>
    <t>6 months</t>
    <phoneticPr fontId="6" type="noConversion"/>
  </si>
  <si>
    <t>Medical Plan Expense to Church</t>
    <phoneticPr fontId="6" type="noConversion"/>
  </si>
  <si>
    <t>Employee per mo</t>
    <phoneticPr fontId="6" type="noConversion"/>
  </si>
  <si>
    <t>Depend per mo</t>
    <phoneticPr fontId="6" type="noConversion"/>
  </si>
  <si>
    <t>Estimated 2nd 6 mos</t>
    <phoneticPr fontId="6" type="noConversion"/>
  </si>
  <si>
    <t>Medical Plan Expense to Employee</t>
    <phoneticPr fontId="6" type="noConversion"/>
  </si>
  <si>
    <t>Total Semi-Monthly PRD</t>
    <phoneticPr fontId="13" type="noConversion"/>
  </si>
  <si>
    <t>Sexton</t>
  </si>
  <si>
    <t>Optional dependent-- 100% Pd by employee</t>
    <phoneticPr fontId="6" type="noConversion"/>
  </si>
  <si>
    <t>Life Insur per mo pd by Church</t>
    <phoneticPr fontId="13" type="noConversion"/>
  </si>
  <si>
    <t>Life Insur--Annual cost</t>
    <phoneticPr fontId="13" type="noConversion"/>
  </si>
  <si>
    <t>Employee Benefit Contrib exempt fm FICA</t>
    <phoneticPr fontId="13" type="noConversion"/>
  </si>
  <si>
    <t xml:space="preserve"> Employee pay Med </t>
    <phoneticPr fontId="13" type="noConversion"/>
  </si>
  <si>
    <t>Employee pay Dental</t>
    <phoneticPr fontId="13" type="noConversion"/>
  </si>
  <si>
    <t>5028 - Business Manager</t>
  </si>
  <si>
    <t>5030 - Church Administrator</t>
  </si>
  <si>
    <t>5033 - Director RE</t>
  </si>
  <si>
    <t>5033.2 - DRE expenses</t>
  </si>
  <si>
    <t>5034 - Sexton</t>
  </si>
  <si>
    <t>Total  5949. Miscellaneous Expense</t>
  </si>
  <si>
    <t>TOTAL EXPENSE</t>
  </si>
  <si>
    <t>NET INCOME</t>
  </si>
  <si>
    <t>Office Supplies &amp; Services/Office Equip</t>
    <phoneticPr fontId="6" type="noConversion"/>
  </si>
  <si>
    <t>Total  5629 Office Equipment</t>
  </si>
  <si>
    <t>5709. Denominational</t>
  </si>
  <si>
    <t xml:space="preserve">  Total Benefits</t>
  </si>
  <si>
    <t>Total Compensation w/ Benefits</t>
  </si>
  <si>
    <t>Old Total Cost of Ministry/---Old Salary</t>
    <phoneticPr fontId="13" type="noConversion"/>
  </si>
  <si>
    <t>Old Housing Allowance</t>
  </si>
  <si>
    <t>Old Prof Expenses</t>
  </si>
  <si>
    <t>Employed (1)</t>
    <phoneticPr fontId="6" type="noConversion"/>
  </si>
  <si>
    <t xml:space="preserve">    5933. Credit Card Expenses</t>
    <phoneticPr fontId="7" type="noConversion"/>
  </si>
  <si>
    <t>Total  5609. Office Supplies/Services</t>
  </si>
  <si>
    <t>Total  4189. Fundraising Projects</t>
  </si>
  <si>
    <t>workers comp effective 7/1</t>
  </si>
  <si>
    <t>5005 - Medical &amp; Rx - Self</t>
  </si>
  <si>
    <t>5006 - Medical - Family</t>
  </si>
  <si>
    <t>5007 - Dental</t>
  </si>
  <si>
    <t>5009 Total Senior Minister</t>
  </si>
  <si>
    <t>5011 - Salary</t>
  </si>
  <si>
    <t>5012 - Housing</t>
  </si>
  <si>
    <t>5013 - Other</t>
  </si>
  <si>
    <t>5014 - Pension</t>
  </si>
  <si>
    <t xml:space="preserve">5400 Minister of Music </t>
  </si>
  <si>
    <t>5401 - Salary</t>
  </si>
  <si>
    <t>5402 - Housing</t>
  </si>
  <si>
    <t>5404 - Other</t>
  </si>
  <si>
    <t>5405 - Pension</t>
  </si>
  <si>
    <t>Cost of Salary increase &amp; Grossup</t>
    <phoneticPr fontId="13" type="noConversion"/>
  </si>
  <si>
    <t>Old Pen</t>
    <phoneticPr fontId="6" type="noConversion"/>
  </si>
  <si>
    <t>est inc in income subj to fica &amp; medicare @ 1.5%</t>
    <phoneticPr fontId="6" type="noConversion"/>
  </si>
  <si>
    <t>Total OLD</t>
    <phoneticPr fontId="6" type="noConversion"/>
  </si>
  <si>
    <t>Total 4719. Other Income</t>
  </si>
  <si>
    <t>5008 - Compensation</t>
  </si>
  <si>
    <t>5001 - Salary</t>
  </si>
  <si>
    <t>5002 - Housing</t>
  </si>
  <si>
    <t>5003 - Other</t>
  </si>
  <si>
    <t>5004 - Pension</t>
  </si>
  <si>
    <t xml:space="preserve">    5935. Bank Charges </t>
    <phoneticPr fontId="7" type="noConversion"/>
  </si>
  <si>
    <t xml:space="preserve">    5938 - Kitchen supplies</t>
  </si>
  <si>
    <t>TOTAL INCOME</t>
  </si>
  <si>
    <t>EXPENSE</t>
  </si>
  <si>
    <t>Unemployment Ins</t>
  </si>
  <si>
    <t>Optional dependent Pd by emp per mo</t>
    <phoneticPr fontId="6" type="noConversion"/>
  </si>
  <si>
    <t>Total Semi-Monthly PRD for Employee</t>
    <phoneticPr fontId="13" type="noConversion"/>
  </si>
  <si>
    <t>Employee only 100% pd by church</t>
    <phoneticPr fontId="6" type="noConversion"/>
  </si>
  <si>
    <t>Total  4029. Voluntary Contributions</t>
  </si>
  <si>
    <t>4030. Other Contrib (RE Regstr)</t>
    <phoneticPr fontId="7" type="noConversion"/>
  </si>
  <si>
    <t>5035.1 5045-Social Justice Director</t>
  </si>
  <si>
    <t>5020 - Total Other Pensions</t>
  </si>
  <si>
    <t>5029- Payroll Taxes &amp; Benefits</t>
  </si>
  <si>
    <t>5025- Worker's Compensation</t>
  </si>
  <si>
    <t>4029. Voluntary Contributions</t>
  </si>
  <si>
    <t>Total  5549. Programs</t>
  </si>
  <si>
    <t>Total  5359- Grounds Maintenance</t>
  </si>
  <si>
    <t>Total 5529 - Church Services Total</t>
  </si>
  <si>
    <t>5549- Programs</t>
  </si>
  <si>
    <t>Medical increase effective 1/1</t>
  </si>
  <si>
    <t>Total Exempt from FICA</t>
    <phoneticPr fontId="13" type="noConversion"/>
  </si>
  <si>
    <t>Minister SS &amp; Medicare Expense Income</t>
    <phoneticPr fontId="13" type="noConversion"/>
  </si>
  <si>
    <t>SS w/h semi mo</t>
    <phoneticPr fontId="13" type="noConversion"/>
  </si>
  <si>
    <t>Special Notes &amp; Health Detail</t>
    <phoneticPr fontId="6" type="noConversion"/>
  </si>
</sst>
</file>

<file path=xl/styles.xml><?xml version="1.0" encoding="utf-8"?>
<styleSheet xmlns="http://schemas.openxmlformats.org/spreadsheetml/2006/main">
  <numFmts count="1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#,##0;\-#,##0"/>
    <numFmt numFmtId="169" formatCode="0.0"/>
    <numFmt numFmtId="170" formatCode="0.0000"/>
    <numFmt numFmtId="171" formatCode="#,##0_);[Red]\-#,##0"/>
    <numFmt numFmtId="172" formatCode="#,##0;[Red]\-#,##0"/>
    <numFmt numFmtId="173" formatCode="mmm\ d\,\ yyyy"/>
  </numFmts>
  <fonts count="36"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  <family val="2"/>
    </font>
    <font>
      <sz val="10"/>
      <name val="Verdana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sz val="9"/>
      <name val="Verdana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10"/>
      <name val="Verdana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Verdana"/>
      <family val="2"/>
    </font>
    <font>
      <b/>
      <sz val="10"/>
      <color indexed="10"/>
      <name val="Arial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name val="Lucida Bright"/>
      <family val="1"/>
    </font>
    <font>
      <b/>
      <sz val="10"/>
      <name val="Lucida Bright"/>
      <family val="1"/>
    </font>
    <font>
      <b/>
      <sz val="10"/>
      <color theme="9" tint="-0.249977111117893"/>
      <name val="Lucida Bright"/>
      <family val="1"/>
    </font>
    <font>
      <b/>
      <sz val="14"/>
      <name val="Calibri"/>
      <family val="2"/>
      <scheme val="minor"/>
    </font>
    <font>
      <u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 style="thin">
        <color indexed="64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</borders>
  <cellStyleXfs count="10">
    <xf numFmtId="0" fontId="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18" fillId="0" borderId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 applyFill="1"/>
    <xf numFmtId="0" fontId="8" fillId="0" borderId="0" xfId="0" applyFont="1" applyFill="1"/>
    <xf numFmtId="3" fontId="8" fillId="0" borderId="0" xfId="0" applyNumberFormat="1" applyFont="1"/>
    <xf numFmtId="0" fontId="10" fillId="0" borderId="0" xfId="0" applyFont="1" applyFill="1"/>
    <xf numFmtId="0" fontId="9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/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/>
    <xf numFmtId="3" fontId="9" fillId="0" borderId="0" xfId="0" applyNumberFormat="1" applyFont="1" applyFill="1"/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2" fillId="2" borderId="0" xfId="0" applyFont="1" applyFill="1"/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" fontId="13" fillId="0" borderId="0" xfId="0" applyNumberFormat="1" applyFont="1"/>
    <xf numFmtId="43" fontId="13" fillId="0" borderId="0" xfId="4" applyFont="1"/>
    <xf numFmtId="0" fontId="13" fillId="0" borderId="0" xfId="0" applyFont="1" applyAlignment="1">
      <alignment horizontal="left"/>
    </xf>
    <xf numFmtId="43" fontId="13" fillId="0" borderId="0" xfId="4" applyFont="1" applyFill="1"/>
    <xf numFmtId="2" fontId="13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2" fontId="13" fillId="0" borderId="0" xfId="0" applyNumberFormat="1" applyFont="1"/>
    <xf numFmtId="0" fontId="13" fillId="0" borderId="0" xfId="0" applyFont="1" applyAlignment="1">
      <alignment horizontal="left" indent="1"/>
    </xf>
    <xf numFmtId="0" fontId="13" fillId="0" borderId="0" xfId="0" applyFont="1" applyFill="1" applyAlignment="1">
      <alignment horizontal="left"/>
    </xf>
    <xf numFmtId="0" fontId="13" fillId="0" borderId="0" xfId="0" applyFont="1" applyAlignment="1"/>
    <xf numFmtId="43" fontId="13" fillId="0" borderId="0" xfId="0" applyNumberFormat="1" applyFont="1"/>
    <xf numFmtId="0" fontId="13" fillId="0" borderId="0" xfId="0" applyFont="1" applyAlignment="1">
      <alignment horizontal="center" wrapText="1"/>
    </xf>
    <xf numFmtId="10" fontId="13" fillId="0" borderId="0" xfId="0" applyNumberFormat="1" applyFont="1"/>
    <xf numFmtId="9" fontId="13" fillId="0" borderId="0" xfId="0" applyNumberFormat="1" applyFont="1"/>
    <xf numFmtId="44" fontId="13" fillId="0" borderId="0" xfId="0" applyNumberFormat="1" applyFont="1"/>
    <xf numFmtId="1" fontId="13" fillId="0" borderId="0" xfId="4" applyNumberFormat="1" applyFont="1"/>
    <xf numFmtId="10" fontId="13" fillId="0" borderId="0" xfId="8" applyNumberFormat="1" applyFont="1"/>
    <xf numFmtId="44" fontId="13" fillId="0" borderId="0" xfId="4" applyNumberFormat="1" applyFont="1"/>
    <xf numFmtId="44" fontId="13" fillId="0" borderId="0" xfId="8" applyNumberFormat="1" applyFont="1"/>
    <xf numFmtId="1" fontId="13" fillId="0" borderId="0" xfId="0" quotePrefix="1" applyNumberFormat="1" applyFont="1" applyAlignment="1">
      <alignment horizontal="right" wrapText="1"/>
    </xf>
    <xf numFmtId="44" fontId="12" fillId="0" borderId="0" xfId="0" applyNumberFormat="1" applyFont="1"/>
    <xf numFmtId="44" fontId="12" fillId="0" borderId="0" xfId="4" applyNumberFormat="1" applyFont="1"/>
    <xf numFmtId="165" fontId="13" fillId="0" borderId="0" xfId="0" applyNumberFormat="1" applyFont="1"/>
    <xf numFmtId="44" fontId="12" fillId="0" borderId="0" xfId="8" applyNumberFormat="1" applyFont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0" fillId="0" borderId="0" xfId="0" applyAlignment="1">
      <alignment horizontal="center"/>
    </xf>
    <xf numFmtId="165" fontId="13" fillId="0" borderId="0" xfId="0" applyNumberFormat="1" applyFont="1" applyAlignment="1"/>
    <xf numFmtId="9" fontId="13" fillId="0" borderId="0" xfId="8" applyFont="1"/>
    <xf numFmtId="164" fontId="13" fillId="0" borderId="0" xfId="8" applyNumberFormat="1" applyFont="1"/>
    <xf numFmtId="43" fontId="12" fillId="0" borderId="0" xfId="0" applyNumberFormat="1" applyFont="1"/>
    <xf numFmtId="2" fontId="13" fillId="0" borderId="0" xfId="4" applyNumberFormat="1" applyFont="1"/>
    <xf numFmtId="2" fontId="12" fillId="0" borderId="0" xfId="0" applyNumberFormat="1" applyFont="1"/>
    <xf numFmtId="9" fontId="13" fillId="0" borderId="0" xfId="0" applyNumberFormat="1" applyFont="1" applyAlignment="1">
      <alignment horizontal="center" wrapText="1"/>
    </xf>
    <xf numFmtId="2" fontId="13" fillId="0" borderId="0" xfId="0" applyNumberFormat="1" applyFont="1" applyBorder="1"/>
    <xf numFmtId="3" fontId="0" fillId="0" borderId="0" xfId="0" applyNumberFormat="1"/>
    <xf numFmtId="1" fontId="13" fillId="0" borderId="0" xfId="0" applyNumberFormat="1" applyFont="1" applyAlignment="1">
      <alignment horizontal="left"/>
    </xf>
    <xf numFmtId="3" fontId="7" fillId="0" borderId="0" xfId="0" applyNumberFormat="1" applyFont="1" applyFill="1"/>
    <xf numFmtId="0" fontId="7" fillId="0" borderId="0" xfId="0" applyFont="1" applyFill="1"/>
    <xf numFmtId="1" fontId="13" fillId="0" borderId="1" xfId="4" applyNumberFormat="1" applyFont="1" applyFill="1" applyBorder="1"/>
    <xf numFmtId="10" fontId="13" fillId="0" borderId="0" xfId="4" applyNumberFormat="1" applyFont="1"/>
    <xf numFmtId="0" fontId="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/>
    <xf numFmtId="3" fontId="16" fillId="0" borderId="0" xfId="0" applyNumberFormat="1" applyFont="1"/>
    <xf numFmtId="0" fontId="13" fillId="0" borderId="0" xfId="0" applyFont="1" applyFill="1" applyBorder="1"/>
    <xf numFmtId="0" fontId="13" fillId="0" borderId="0" xfId="0" applyFont="1" applyFill="1"/>
    <xf numFmtId="1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 wrapText="1"/>
    </xf>
    <xf numFmtId="1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" fontId="13" fillId="0" borderId="0" xfId="0" quotePrefix="1" applyNumberFormat="1" applyFont="1" applyFill="1" applyAlignment="1">
      <alignment horizontal="right" wrapText="1"/>
    </xf>
    <xf numFmtId="43" fontId="13" fillId="0" borderId="0" xfId="0" applyNumberFormat="1" applyFont="1" applyFill="1"/>
    <xf numFmtId="2" fontId="13" fillId="0" borderId="0" xfId="0" applyNumberFormat="1" applyFont="1" applyFill="1"/>
    <xf numFmtId="43" fontId="12" fillId="0" borderId="0" xfId="0" applyNumberFormat="1" applyFont="1" applyFill="1"/>
    <xf numFmtId="2" fontId="12" fillId="0" borderId="0" xfId="0" applyNumberFormat="1" applyFont="1" applyFill="1"/>
    <xf numFmtId="3" fontId="0" fillId="0" borderId="0" xfId="0" applyNumberFormat="1" applyFont="1" applyFill="1"/>
    <xf numFmtId="1" fontId="12" fillId="0" borderId="0" xfId="0" applyNumberFormat="1" applyFont="1" applyFill="1" applyAlignment="1">
      <alignment horizontal="right"/>
    </xf>
    <xf numFmtId="1" fontId="13" fillId="0" borderId="0" xfId="4" applyNumberFormat="1" applyFont="1" applyFill="1"/>
    <xf numFmtId="1" fontId="13" fillId="0" borderId="2" xfId="4" applyNumberFormat="1" applyFont="1" applyFill="1" applyBorder="1"/>
    <xf numFmtId="166" fontId="13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Fill="1"/>
    <xf numFmtId="14" fontId="1" fillId="0" borderId="0" xfId="0" applyNumberFormat="1" applyFont="1"/>
    <xf numFmtId="10" fontId="1" fillId="0" borderId="0" xfId="0" applyNumberFormat="1" applyFont="1"/>
    <xf numFmtId="3" fontId="8" fillId="0" borderId="0" xfId="0" applyNumberFormat="1" applyFont="1" applyFill="1" applyAlignment="1">
      <alignment horizontal="right"/>
    </xf>
    <xf numFmtId="1" fontId="13" fillId="0" borderId="0" xfId="0" quotePrefix="1" applyNumberFormat="1" applyFont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168" fontId="14" fillId="0" borderId="0" xfId="0" applyNumberFormat="1" applyFont="1" applyFill="1"/>
    <xf numFmtId="0" fontId="1" fillId="0" borderId="4" xfId="0" applyFont="1" applyFill="1" applyBorder="1"/>
    <xf numFmtId="0" fontId="1" fillId="0" borderId="4" xfId="0" applyFont="1" applyBorder="1"/>
    <xf numFmtId="0" fontId="15" fillId="0" borderId="5" xfId="0" applyFont="1" applyBorder="1"/>
    <xf numFmtId="3" fontId="0" fillId="0" borderId="4" xfId="0" applyNumberFormat="1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0" borderId="6" xfId="0" applyFont="1" applyBorder="1"/>
    <xf numFmtId="0" fontId="17" fillId="0" borderId="0" xfId="0" applyFont="1" applyAlignment="1">
      <alignment vertical="center"/>
    </xf>
    <xf numFmtId="0" fontId="1" fillId="0" borderId="5" xfId="0" applyFont="1" applyFill="1" applyBorder="1"/>
    <xf numFmtId="3" fontId="10" fillId="0" borderId="0" xfId="0" applyNumberFormat="1" applyFont="1" applyFill="1"/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9" fillId="0" borderId="7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3" fontId="10" fillId="0" borderId="8" xfId="0" applyNumberFormat="1" applyFont="1" applyFill="1" applyBorder="1"/>
    <xf numFmtId="3" fontId="8" fillId="0" borderId="0" xfId="4" applyNumberFormat="1" applyFont="1" applyFill="1" applyAlignment="1">
      <alignment horizontal="right"/>
    </xf>
    <xf numFmtId="3" fontId="9" fillId="0" borderId="0" xfId="4" applyNumberFormat="1" applyFont="1" applyFill="1" applyAlignment="1">
      <alignment horizontal="right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3" fontId="8" fillId="0" borderId="0" xfId="0" quotePrefix="1" applyNumberFormat="1" applyFont="1" applyFill="1" applyAlignment="1">
      <alignment horizontal="right"/>
    </xf>
    <xf numFmtId="3" fontId="9" fillId="0" borderId="0" xfId="4" applyNumberFormat="1" applyFont="1" applyFill="1"/>
    <xf numFmtId="1" fontId="12" fillId="0" borderId="0" xfId="0" applyNumberFormat="1" applyFont="1" applyBorder="1"/>
    <xf numFmtId="0" fontId="18" fillId="0" borderId="0" xfId="0" applyFont="1"/>
    <xf numFmtId="0" fontId="14" fillId="0" borderId="0" xfId="0" applyFont="1"/>
    <xf numFmtId="14" fontId="18" fillId="0" borderId="0" xfId="0" applyNumberFormat="1" applyFont="1"/>
    <xf numFmtId="0" fontId="18" fillId="0" borderId="0" xfId="0" applyFont="1" applyFill="1"/>
    <xf numFmtId="41" fontId="18" fillId="0" borderId="0" xfId="0" applyNumberFormat="1" applyFont="1" applyFill="1"/>
    <xf numFmtId="3" fontId="18" fillId="0" borderId="0" xfId="0" applyNumberFormat="1" applyFont="1" applyFill="1"/>
    <xf numFmtId="0" fontId="14" fillId="0" borderId="0" xfId="0" applyFont="1" applyFill="1"/>
    <xf numFmtId="0" fontId="14" fillId="0" borderId="0" xfId="0" quotePrefix="1" applyFont="1" applyFill="1" applyAlignment="1">
      <alignment horizontal="left"/>
    </xf>
    <xf numFmtId="0" fontId="1" fillId="6" borderId="9" xfId="0" applyFont="1" applyFill="1" applyBorder="1"/>
    <xf numFmtId="3" fontId="1" fillId="0" borderId="4" xfId="0" applyNumberFormat="1" applyFont="1" applyFill="1" applyBorder="1"/>
    <xf numFmtId="0" fontId="9" fillId="0" borderId="0" xfId="0" applyFont="1"/>
    <xf numFmtId="3" fontId="9" fillId="0" borderId="2" xfId="0" applyNumberFormat="1" applyFont="1" applyFill="1" applyBorder="1"/>
    <xf numFmtId="10" fontId="12" fillId="0" borderId="0" xfId="0" applyNumberFormat="1" applyFont="1"/>
    <xf numFmtId="0" fontId="19" fillId="0" borderId="0" xfId="0" applyFont="1" applyAlignment="1">
      <alignment vertical="center"/>
    </xf>
    <xf numFmtId="0" fontId="0" fillId="0" borderId="4" xfId="0" applyFont="1" applyFill="1" applyBorder="1"/>
    <xf numFmtId="3" fontId="1" fillId="0" borderId="6" xfId="0" applyNumberFormat="1" applyFont="1" applyBorder="1"/>
    <xf numFmtId="3" fontId="7" fillId="0" borderId="10" xfId="0" applyNumberFormat="1" applyFont="1" applyBorder="1"/>
    <xf numFmtId="0" fontId="26" fillId="0" borderId="0" xfId="0" applyFont="1"/>
    <xf numFmtId="0" fontId="17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167" fontId="13" fillId="0" borderId="0" xfId="0" applyNumberFormat="1" applyFont="1"/>
    <xf numFmtId="1" fontId="13" fillId="0" borderId="0" xfId="0" applyNumberFormat="1" applyFont="1" applyAlignment="1">
      <alignment horizontal="right" wrapText="1"/>
    </xf>
    <xf numFmtId="41" fontId="14" fillId="0" borderId="0" xfId="0" applyNumberFormat="1" applyFont="1" applyFill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3" fillId="6" borderId="0" xfId="0" applyFont="1" applyFill="1"/>
    <xf numFmtId="0" fontId="12" fillId="6" borderId="0" xfId="0" applyFont="1" applyFill="1" applyAlignment="1">
      <alignment horizontal="center" wrapText="1"/>
    </xf>
    <xf numFmtId="0" fontId="12" fillId="6" borderId="0" xfId="0" applyFont="1" applyFill="1" applyAlignment="1">
      <alignment wrapText="1"/>
    </xf>
    <xf numFmtId="0" fontId="8" fillId="7" borderId="0" xfId="0" quotePrefix="1" applyFont="1" applyFill="1" applyAlignment="1">
      <alignment horizontal="left"/>
    </xf>
    <xf numFmtId="3" fontId="10" fillId="0" borderId="0" xfId="0" applyNumberFormat="1" applyFont="1" applyFill="1" applyBorder="1"/>
    <xf numFmtId="168" fontId="8" fillId="0" borderId="0" xfId="0" applyNumberFormat="1" applyFont="1" applyFill="1"/>
    <xf numFmtId="168" fontId="8" fillId="0" borderId="3" xfId="0" applyNumberFormat="1" applyFont="1" applyFill="1" applyBorder="1"/>
    <xf numFmtId="49" fontId="8" fillId="0" borderId="0" xfId="0" applyNumberFormat="1" applyFont="1"/>
    <xf numFmtId="0" fontId="20" fillId="0" borderId="0" xfId="0" applyFont="1"/>
    <xf numFmtId="0" fontId="28" fillId="0" borderId="0" xfId="0" applyFont="1"/>
    <xf numFmtId="3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13" fillId="7" borderId="0" xfId="0" applyFont="1" applyFill="1" applyAlignment="1">
      <alignment horizontal="center" wrapText="1"/>
    </xf>
    <xf numFmtId="41" fontId="14" fillId="0" borderId="11" xfId="0" applyNumberFormat="1" applyFont="1" applyFill="1" applyBorder="1" applyAlignment="1">
      <alignment horizontal="right"/>
    </xf>
    <xf numFmtId="49" fontId="21" fillId="0" borderId="0" xfId="0" applyNumberFormat="1" applyFont="1"/>
    <xf numFmtId="0" fontId="29" fillId="0" borderId="0" xfId="0" applyFont="1" applyFill="1"/>
    <xf numFmtId="0" fontId="29" fillId="0" borderId="0" xfId="0" quotePrefix="1" applyFont="1" applyFill="1"/>
    <xf numFmtId="0" fontId="0" fillId="0" borderId="4" xfId="0" applyBorder="1" applyAlignment="1">
      <alignment horizontal="left" indent="1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0" fontId="13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left"/>
    </xf>
    <xf numFmtId="0" fontId="20" fillId="0" borderId="0" xfId="0" applyFont="1" applyFill="1"/>
    <xf numFmtId="41" fontId="27" fillId="0" borderId="8" xfId="0" applyNumberFormat="1" applyFont="1" applyFill="1" applyBorder="1"/>
    <xf numFmtId="0" fontId="1" fillId="8" borderId="9" xfId="0" applyFont="1" applyFill="1" applyBorder="1"/>
    <xf numFmtId="0" fontId="1" fillId="8" borderId="12" xfId="0" applyFont="1" applyFill="1" applyBorder="1" applyAlignment="1">
      <alignment horizontal="center"/>
    </xf>
    <xf numFmtId="37" fontId="14" fillId="0" borderId="0" xfId="0" applyNumberFormat="1" applyFont="1" applyFill="1"/>
    <xf numFmtId="167" fontId="13" fillId="0" borderId="0" xfId="4" applyNumberFormat="1" applyFont="1"/>
    <xf numFmtId="0" fontId="13" fillId="7" borderId="0" xfId="0" applyFont="1" applyFill="1"/>
    <xf numFmtId="0" fontId="22" fillId="0" borderId="0" xfId="0" applyFont="1"/>
    <xf numFmtId="3" fontId="13" fillId="0" borderId="0" xfId="0" applyNumberFormat="1" applyFont="1" applyFill="1"/>
    <xf numFmtId="3" fontId="12" fillId="0" borderId="0" xfId="0" applyNumberFormat="1" applyFont="1" applyFill="1" applyAlignment="1">
      <alignment horizontal="right"/>
    </xf>
    <xf numFmtId="3" fontId="13" fillId="0" borderId="0" xfId="0" applyNumberFormat="1" applyFont="1"/>
    <xf numFmtId="0" fontId="13" fillId="9" borderId="0" xfId="0" applyFont="1" applyFill="1"/>
    <xf numFmtId="0" fontId="1" fillId="6" borderId="7" xfId="0" applyFont="1" applyFill="1" applyBorder="1" applyAlignment="1">
      <alignment horizontal="center"/>
    </xf>
    <xf numFmtId="43" fontId="13" fillId="6" borderId="0" xfId="4" quotePrefix="1" applyFont="1" applyFill="1"/>
    <xf numFmtId="3" fontId="13" fillId="0" borderId="0" xfId="0" applyNumberFormat="1" applyFont="1" applyAlignment="1">
      <alignment horizontal="left"/>
    </xf>
    <xf numFmtId="3" fontId="13" fillId="0" borderId="0" xfId="0" applyNumberFormat="1" applyFont="1" applyFill="1" applyAlignment="1"/>
    <xf numFmtId="3" fontId="13" fillId="0" borderId="0" xfId="0" applyNumberFormat="1" applyFont="1" applyAlignment="1"/>
    <xf numFmtId="3" fontId="13" fillId="0" borderId="0" xfId="0" applyNumberFormat="1" applyFont="1" applyBorder="1" applyAlignment="1"/>
    <xf numFmtId="3" fontId="13" fillId="7" borderId="0" xfId="0" applyNumberFormat="1" applyFont="1" applyFill="1" applyAlignment="1"/>
    <xf numFmtId="3" fontId="13" fillId="0" borderId="2" xfId="4" applyNumberFormat="1" applyFont="1" applyFill="1" applyBorder="1" applyAlignme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2" fontId="13" fillId="9" borderId="0" xfId="0" applyNumberFormat="1" applyFont="1" applyFill="1"/>
    <xf numFmtId="167" fontId="13" fillId="0" borderId="0" xfId="4" applyNumberFormat="1" applyFont="1" applyAlignment="1">
      <alignment horizontal="right"/>
    </xf>
    <xf numFmtId="167" fontId="13" fillId="0" borderId="0" xfId="4" applyNumberFormat="1" applyFont="1" applyFill="1"/>
    <xf numFmtId="167" fontId="13" fillId="6" borderId="0" xfId="4" applyNumberFormat="1" applyFont="1" applyFill="1"/>
    <xf numFmtId="167" fontId="13" fillId="0" borderId="2" xfId="4" applyNumberFormat="1" applyFont="1" applyFill="1" applyBorder="1"/>
    <xf numFmtId="167" fontId="13" fillId="0" borderId="2" xfId="4" applyNumberFormat="1" applyFont="1" applyBorder="1"/>
    <xf numFmtId="167" fontId="13" fillId="0" borderId="0" xfId="0" applyNumberFormat="1" applyFont="1" applyFill="1"/>
    <xf numFmtId="167" fontId="13" fillId="0" borderId="0" xfId="4" applyNumberFormat="1" applyFont="1" applyFill="1" applyAlignment="1">
      <alignment horizontal="right"/>
    </xf>
    <xf numFmtId="167" fontId="13" fillId="0" borderId="0" xfId="0" applyNumberFormat="1" applyFont="1" applyAlignment="1">
      <alignment horizontal="right"/>
    </xf>
    <xf numFmtId="167" fontId="13" fillId="7" borderId="0" xfId="4" applyNumberFormat="1" applyFont="1" applyFill="1"/>
    <xf numFmtId="167" fontId="13" fillId="0" borderId="1" xfId="4" applyNumberFormat="1" applyFont="1" applyBorder="1"/>
    <xf numFmtId="167" fontId="13" fillId="0" borderId="1" xfId="4" applyNumberFormat="1" applyFont="1" applyFill="1" applyBorder="1"/>
    <xf numFmtId="43" fontId="13" fillId="0" borderId="13" xfId="4" applyFont="1" applyBorder="1"/>
    <xf numFmtId="3" fontId="13" fillId="0" borderId="0" xfId="0" applyNumberFormat="1" applyFont="1" applyBorder="1"/>
    <xf numFmtId="3" fontId="13" fillId="0" borderId="0" xfId="0" applyNumberFormat="1" applyFont="1" applyAlignment="1">
      <alignment horizontal="center" wrapText="1"/>
    </xf>
    <xf numFmtId="3" fontId="12" fillId="0" borderId="0" xfId="4" applyNumberFormat="1" applyFont="1"/>
    <xf numFmtId="3" fontId="12" fillId="0" borderId="0" xfId="0" applyNumberFormat="1" applyFont="1" applyBorder="1"/>
    <xf numFmtId="3" fontId="12" fillId="0" borderId="1" xfId="4" applyNumberFormat="1" applyFont="1" applyFill="1" applyBorder="1"/>
    <xf numFmtId="3" fontId="13" fillId="0" borderId="0" xfId="0" quotePrefix="1" applyNumberFormat="1" applyFont="1" applyAlignment="1">
      <alignment horizontal="right" wrapText="1"/>
    </xf>
    <xf numFmtId="3" fontId="15" fillId="0" borderId="2" xfId="0" applyNumberFormat="1" applyFont="1" applyBorder="1"/>
    <xf numFmtId="0" fontId="5" fillId="0" borderId="10" xfId="0" applyFont="1" applyBorder="1"/>
    <xf numFmtId="3" fontId="1" fillId="0" borderId="10" xfId="0" applyNumberFormat="1" applyFont="1" applyFill="1" applyBorder="1"/>
    <xf numFmtId="0" fontId="7" fillId="0" borderId="4" xfId="0" applyFont="1" applyBorder="1"/>
    <xf numFmtId="0" fontId="30" fillId="0" borderId="0" xfId="0" applyFont="1" applyAlignment="1">
      <alignment horizontal="right"/>
    </xf>
    <xf numFmtId="10" fontId="30" fillId="0" borderId="0" xfId="0" applyNumberFormat="1" applyFont="1"/>
    <xf numFmtId="8" fontId="13" fillId="0" borderId="0" xfId="0" applyNumberFormat="1" applyFont="1"/>
    <xf numFmtId="42" fontId="0" fillId="0" borderId="0" xfId="0" applyNumberFormat="1"/>
    <xf numFmtId="171" fontId="1" fillId="0" borderId="4" xfId="0" applyNumberFormat="1" applyFont="1" applyBorder="1"/>
    <xf numFmtId="171" fontId="1" fillId="0" borderId="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0" fillId="0" borderId="4" xfId="0" applyNumberFormat="1" applyBorder="1"/>
    <xf numFmtId="171" fontId="0" fillId="0" borderId="5" xfId="0" applyNumberFormat="1" applyBorder="1"/>
    <xf numFmtId="172" fontId="0" fillId="0" borderId="0" xfId="5" applyNumberFormat="1" applyFont="1" applyBorder="1"/>
    <xf numFmtId="172" fontId="0" fillId="0" borderId="10" xfId="5" applyNumberFormat="1" applyFont="1" applyBorder="1"/>
    <xf numFmtId="172" fontId="0" fillId="0" borderId="14" xfId="5" applyNumberFormat="1" applyFont="1" applyBorder="1"/>
    <xf numFmtId="172" fontId="0" fillId="0" borderId="2" xfId="5" applyNumberFormat="1" applyFont="1" applyBorder="1"/>
    <xf numFmtId="172" fontId="0" fillId="0" borderId="6" xfId="5" applyNumberFormat="1" applyFont="1" applyBorder="1"/>
    <xf numFmtId="172" fontId="0" fillId="0" borderId="15" xfId="5" applyNumberFormat="1" applyFont="1" applyBorder="1"/>
    <xf numFmtId="171" fontId="1" fillId="0" borderId="16" xfId="0" applyNumberFormat="1" applyFont="1" applyBorder="1" applyAlignment="1">
      <alignment horizontal="center"/>
    </xf>
    <xf numFmtId="171" fontId="25" fillId="3" borderId="17" xfId="1" applyNumberFormat="1" applyFont="1" applyBorder="1" applyAlignment="1">
      <alignment horizontal="center"/>
    </xf>
    <xf numFmtId="171" fontId="25" fillId="4" borderId="17" xfId="2" applyNumberFormat="1" applyFont="1" applyBorder="1" applyAlignment="1">
      <alignment horizontal="center"/>
    </xf>
    <xf numFmtId="0" fontId="7" fillId="0" borderId="10" xfId="0" applyFont="1" applyBorder="1"/>
    <xf numFmtId="0" fontId="23" fillId="0" borderId="4" xfId="0" applyFont="1" applyFill="1" applyBorder="1"/>
    <xf numFmtId="0" fontId="0" fillId="0" borderId="5" xfId="0" applyFont="1" applyFill="1" applyBorder="1" applyAlignment="1">
      <alignment horizontal="left" indent="1"/>
    </xf>
    <xf numFmtId="9" fontId="0" fillId="0" borderId="6" xfId="0" applyNumberFormat="1" applyFont="1" applyBorder="1"/>
    <xf numFmtId="0" fontId="1" fillId="6" borderId="12" xfId="0" applyFont="1" applyFill="1" applyBorder="1" applyAlignment="1">
      <alignment horizontal="center"/>
    </xf>
    <xf numFmtId="0" fontId="0" fillId="0" borderId="19" xfId="0" applyBorder="1"/>
    <xf numFmtId="0" fontId="0" fillId="0" borderId="19" xfId="0" pivotButton="1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4" fontId="0" fillId="0" borderId="20" xfId="0" applyNumberFormat="1" applyBorder="1"/>
    <xf numFmtId="4" fontId="0" fillId="0" borderId="24" xfId="0" applyNumberFormat="1" applyBorder="1"/>
    <xf numFmtId="4" fontId="0" fillId="0" borderId="22" xfId="0" applyNumberFormat="1" applyBorder="1"/>
    <xf numFmtId="0" fontId="19" fillId="0" borderId="0" xfId="0" applyFont="1"/>
    <xf numFmtId="0" fontId="0" fillId="10" borderId="0" xfId="0" applyFill="1" applyAlignment="1">
      <alignment horizontal="center"/>
    </xf>
    <xf numFmtId="0" fontId="31" fillId="0" borderId="0" xfId="0" applyFont="1"/>
    <xf numFmtId="172" fontId="31" fillId="0" borderId="10" xfId="5" applyNumberFormat="1" applyFont="1" applyBorder="1"/>
    <xf numFmtId="0" fontId="31" fillId="11" borderId="0" xfId="0" applyFont="1" applyFill="1"/>
    <xf numFmtId="172" fontId="31" fillId="11" borderId="10" xfId="5" applyNumberFormat="1" applyFont="1" applyFill="1" applyBorder="1"/>
    <xf numFmtId="0" fontId="31" fillId="0" borderId="26" xfId="0" applyFont="1" applyBorder="1"/>
    <xf numFmtId="0" fontId="32" fillId="0" borderId="26" xfId="0" applyFont="1" applyBorder="1"/>
    <xf numFmtId="173" fontId="31" fillId="0" borderId="26" xfId="0" applyNumberFormat="1" applyFont="1" applyBorder="1" applyAlignment="1">
      <alignment horizontal="center"/>
    </xf>
    <xf numFmtId="173" fontId="31" fillId="0" borderId="25" xfId="0" applyNumberFormat="1" applyFont="1" applyBorder="1" applyAlignment="1">
      <alignment horizontal="center"/>
    </xf>
    <xf numFmtId="172" fontId="31" fillId="0" borderId="25" xfId="5" applyNumberFormat="1" applyFont="1" applyBorder="1"/>
    <xf numFmtId="0" fontId="31" fillId="10" borderId="0" xfId="0" applyFont="1" applyFill="1"/>
    <xf numFmtId="172" fontId="31" fillId="10" borderId="10" xfId="5" applyNumberFormat="1" applyFont="1" applyFill="1" applyBorder="1"/>
    <xf numFmtId="0" fontId="31" fillId="10" borderId="26" xfId="0" applyFont="1" applyFill="1" applyBorder="1"/>
    <xf numFmtId="172" fontId="31" fillId="10" borderId="25" xfId="5" applyNumberFormat="1" applyFont="1" applyFill="1" applyBorder="1"/>
    <xf numFmtId="0" fontId="33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0" xfId="0" applyFont="1" applyBorder="1"/>
    <xf numFmtId="173" fontId="31" fillId="0" borderId="0" xfId="0" applyNumberFormat="1" applyFont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0" fontId="33" fillId="0" borderId="0" xfId="0" applyFont="1" applyBorder="1"/>
    <xf numFmtId="0" fontId="34" fillId="0" borderId="0" xfId="0" applyFont="1"/>
    <xf numFmtId="172" fontId="32" fillId="10" borderId="10" xfId="5" applyNumberFormat="1" applyFont="1" applyFill="1" applyBorder="1"/>
    <xf numFmtId="172" fontId="1" fillId="0" borderId="10" xfId="5" applyNumberFormat="1" applyFont="1" applyBorder="1"/>
    <xf numFmtId="3" fontId="7" fillId="0" borderId="18" xfId="0" applyNumberFormat="1" applyFont="1" applyFill="1" applyBorder="1"/>
    <xf numFmtId="3" fontId="0" fillId="0" borderId="1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0" fillId="0" borderId="6" xfId="0" applyNumberFormat="1" applyFont="1" applyFill="1" applyBorder="1"/>
    <xf numFmtId="41" fontId="14" fillId="0" borderId="8" xfId="0" applyNumberFormat="1" applyFont="1" applyFill="1" applyBorder="1"/>
    <xf numFmtId="3" fontId="11" fillId="0" borderId="0" xfId="0" applyNumberFormat="1" applyFont="1" applyFill="1"/>
    <xf numFmtId="3" fontId="35" fillId="0" borderId="0" xfId="4" applyNumberFormat="1" applyFont="1" applyFill="1" applyAlignment="1">
      <alignment horizontal="right"/>
    </xf>
    <xf numFmtId="3" fontId="35" fillId="0" borderId="0" xfId="0" applyNumberFormat="1" applyFont="1" applyFill="1"/>
    <xf numFmtId="171" fontId="25" fillId="12" borderId="11" xfId="3" applyNumberFormat="1" applyFont="1" applyBorder="1" applyAlignment="1">
      <alignment horizontal="center"/>
    </xf>
    <xf numFmtId="171" fontId="25" fillId="12" borderId="18" xfId="3" applyNumberFormat="1" applyFont="1" applyBorder="1" applyAlignment="1">
      <alignment horizontal="center"/>
    </xf>
    <xf numFmtId="0" fontId="0" fillId="13" borderId="0" xfId="0" applyFill="1" applyAlignment="1">
      <alignment horizontal="center"/>
    </xf>
    <xf numFmtId="165" fontId="13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</cellXfs>
  <cellStyles count="10">
    <cellStyle name="Accent3 - 40%" xfId="3" builtinId="39"/>
    <cellStyle name="Accent5 - 20%" xfId="1" builtinId="46"/>
    <cellStyle name="Accent6 - 20%" xfId="2" builtinId="50"/>
    <cellStyle name="Comma" xfId="4" builtinId="3"/>
    <cellStyle name="Currency [0]" xfId="5" builtinId="7"/>
    <cellStyle name="Normal" xfId="0" builtinId="0"/>
    <cellStyle name="Normal 2" xfId="6"/>
    <cellStyle name="Normal 3" xfId="7"/>
    <cellStyle name="Percent" xfId="8" builtinId="5"/>
    <cellStyle name="Percent 2" xfId="9"/>
  </cellStyles>
  <dxfs count="4">
    <dxf>
      <numFmt numFmtId="4" formatCode="#,##0.00"/>
    </dxf>
    <dxf>
      <numFmt numFmtId="1" formatCode="0"/>
    </dxf>
    <dxf>
      <numFmt numFmtId="4" formatCode="#,##0.00"/>
    </dxf>
    <dxf>
      <numFmt numFmtId="1" formatCode="0"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10" Type="http://schemas.openxmlformats.org/officeDocument/2006/relationships/calcChain" Target="calcChain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pivotSource>
    <c:name>[Budget Summary FYE 2015.xlsx]Charts!PivotTable1</c:name>
    <c:fmtId val="2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4"/>
        <c:spPr>
          <a:solidFill>
            <a:schemeClr val="accent4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5"/>
        <c:spPr>
          <a:solidFill>
            <a:schemeClr val="accent5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6"/>
        <c:spPr>
          <a:solidFill>
            <a:schemeClr val="accent6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7"/>
        <c:spPr>
          <a:solidFill>
            <a:schemeClr val="accent1">
              <a:lumMod val="60000"/>
            </a:schemeClr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Charts!$S$18:$S$19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Charts!$R$20:$R$27</c:f>
              <c:strCache>
                <c:ptCount val="7"/>
                <c:pt idx="0">
                  <c:v>Administration</c:v>
                </c:pt>
                <c:pt idx="1">
                  <c:v>Building and Grounds</c:v>
                </c:pt>
                <c:pt idx="2">
                  <c:v>Denominational</c:v>
                </c:pt>
                <c:pt idx="3">
                  <c:v>Music</c:v>
                </c:pt>
                <c:pt idx="4">
                  <c:v>Religious Education</c:v>
                </c:pt>
                <c:pt idx="5">
                  <c:v>Social Justice</c:v>
                </c:pt>
                <c:pt idx="6">
                  <c:v>Worship</c:v>
                </c:pt>
              </c:strCache>
            </c:strRef>
          </c:cat>
          <c:val>
            <c:numRef>
              <c:f>Charts!$S$20:$S$27</c:f>
              <c:numCache>
                <c:formatCode>#,##0.00</c:formatCode>
                <c:ptCount val="7"/>
                <c:pt idx="0">
                  <c:v>157565.9525</c:v>
                </c:pt>
                <c:pt idx="1">
                  <c:v>173317.6</c:v>
                </c:pt>
                <c:pt idx="2">
                  <c:v>42369.0</c:v>
                </c:pt>
                <c:pt idx="3">
                  <c:v>107491.851</c:v>
                </c:pt>
                <c:pt idx="4">
                  <c:v>98674.525</c:v>
                </c:pt>
                <c:pt idx="5">
                  <c:v>80814.71249999998</c:v>
                </c:pt>
                <c:pt idx="6">
                  <c:v>175857.14328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pivotSource>
    <c:name>[Budget Summary FYE 2015.xlsx]Charts!PivotTable2</c:name>
    <c:fmtId val="2"/>
  </c:pivotSource>
  <c:chart>
    <c:autoTitleDeleted val="1"/>
    <c:pivotFmts>
      <c:pivotFmt>
        <c:idx val="0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  <c:dLbl>
          <c:idx val="0"/>
          <c:layout>
            <c:manualLayout>
              <c:x val="0.0694444444444445"/>
              <c:y val="0.00462962962962963"/>
            </c:manualLayout>
          </c:layout>
          <c:dLblPos val="bestFit"/>
          <c:showCatName val="1"/>
          <c:showPercent val="1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4"/>
        <c:spPr>
          <a:solidFill>
            <a:schemeClr val="accent4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  <c:pivotFmt>
        <c:idx val="5"/>
        <c:spPr>
          <a:solidFill>
            <a:schemeClr val="accent5"/>
          </a:solidFill>
          <a:ln>
            <a:noFill/>
          </a:ln>
          <a:effectLst>
            <a:outerShdw blurRad="88900" sx="102000" sy="102000" algn="ctr" rotWithShape="0">
              <a:prstClr val="black">
                <a:alpha val="10000"/>
              </a:prstClr>
            </a:outerShdw>
          </a:effectLst>
          <a:scene3d>
            <a:camera prst="orthographicFront"/>
            <a:lightRig rig="threePt" dir="t"/>
          </a:scene3d>
          <a:sp3d>
            <a:bevelT w="127000" h="127000"/>
            <a:bevelB w="127000" h="127000"/>
          </a:sp3d>
        </c:spPr>
      </c:pivotFmt>
    </c:pivotFmts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Charts!$S$9:$S$10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1"/>
              <c:layout>
                <c:manualLayout>
                  <c:x val="0.0694444444444445"/>
                  <c:y val="0.00462962962962963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Charts!$R$11:$R$16</c:f>
              <c:strCache>
                <c:ptCount val="5"/>
                <c:pt idx="0">
                  <c:v>Fundraising</c:v>
                </c:pt>
                <c:pt idx="1">
                  <c:v>Non-Pledge Gifts</c:v>
                </c:pt>
                <c:pt idx="2">
                  <c:v>Pledges</c:v>
                </c:pt>
                <c:pt idx="3">
                  <c:v>Rentals</c:v>
                </c:pt>
                <c:pt idx="4">
                  <c:v>Special Gifts</c:v>
                </c:pt>
              </c:strCache>
            </c:strRef>
          </c:cat>
          <c:val>
            <c:numRef>
              <c:f>Charts!$S$11:$S$16</c:f>
              <c:numCache>
                <c:formatCode>#,##0.00</c:formatCode>
                <c:ptCount val="5"/>
                <c:pt idx="0">
                  <c:v>43500.0</c:v>
                </c:pt>
                <c:pt idx="1">
                  <c:v>38000.0</c:v>
                </c:pt>
                <c:pt idx="2">
                  <c:v>627170.0</c:v>
                </c:pt>
                <c:pt idx="3">
                  <c:v>152336.0</c:v>
                </c:pt>
                <c:pt idx="4">
                  <c:v>59500.0</c:v>
                </c:pt>
              </c:numCache>
            </c:numRef>
          </c:val>
        </c:ser>
        <c:dLbls>
          <c:showCatName val="1"/>
        </c:dLbls>
      </c:pie3DChart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20</xdr:row>
      <xdr:rowOff>97973</xdr:rowOff>
    </xdr:from>
    <xdr:to>
      <xdr:col>5</xdr:col>
      <xdr:colOff>548640</xdr:colOff>
      <xdr:row>39</xdr:row>
      <xdr:rowOff>124098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1006384</xdr:colOff>
      <xdr:row>1</xdr:row>
      <xdr:rowOff>81643</xdr:rowOff>
    </xdr:from>
    <xdr:to>
      <xdr:col>4</xdr:col>
      <xdr:colOff>993321</xdr:colOff>
      <xdr:row>18</xdr:row>
      <xdr:rowOff>107769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n Vogel" refreshedDate="40323.891241666664" createdVersion="1" refreshedVersion="5" recordCount="221" upgradeOnRefresh="1">
  <cacheSource type="worksheet">
    <worksheetSource ref="F1:G130" sheet="P&amp;L"/>
  </cacheSource>
  <cacheFields count="6">
    <cacheField name="2015" numFmtId="0">
      <sharedItems containsBlank="1" containsMixedTypes="1" containsNumber="1" minValue="0" maxValue="951006"/>
    </cacheField>
    <cacheField name="2015 Bud" numFmtId="0">
      <sharedItems containsBlank="1" containsMixedTypes="1" containsNumber="1" minValue="-40000" maxValue="44973"/>
    </cacheField>
    <cacheField name="Commentary &amp; Explanation" numFmtId="0">
      <sharedItems containsBlank="1" containsMixedTypes="1" containsNumber="1" minValue="0.1" maxValue="14710"/>
    </cacheField>
    <cacheField name="Disc." numFmtId="0">
      <sharedItems containsDate="1" containsBlank="1" containsMixedTypes="1" minDate="2014-01-31T00:00:00" maxDate="1904-01-01T01:19:04"/>
    </cacheField>
    <cacheField name="Who" numFmtId="0">
      <sharedItems containsBlank="1"/>
    </cacheField>
    <cacheField name="Category" numFmtId="0">
      <sharedItems containsBlank="1" count="14">
        <m/>
        <s v="Pledges"/>
        <s v="Non-Pledge Gifts"/>
        <s v="Fundraising"/>
        <s v="Rentals"/>
        <s v="Special Gifts"/>
        <s v="Worship"/>
        <s v="Music"/>
        <s v="Administration"/>
        <s v="Religious Education"/>
        <s v="Building and Grounds"/>
        <s v="Social Justice"/>
        <s v=" "/>
        <s v="Denomination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s v=" Budget"/>
    <s v="v. 2014 B"/>
    <s v="Notes"/>
    <n v="0.93"/>
    <m/>
    <x v="0"/>
  </r>
  <r>
    <m/>
    <m/>
    <m/>
    <m/>
    <m/>
    <x v="0"/>
  </r>
  <r>
    <m/>
    <m/>
    <m/>
    <m/>
    <m/>
    <x v="0"/>
  </r>
  <r>
    <n v="669000"/>
    <n v="-40000"/>
    <s v="Hope we can get some more"/>
    <m/>
    <m/>
    <x v="0"/>
  </r>
  <r>
    <n v="5000"/>
    <n v="0"/>
    <m/>
    <m/>
    <m/>
    <x v="0"/>
  </r>
  <r>
    <n v="0.93"/>
    <n v="0"/>
    <m/>
    <m/>
    <m/>
    <x v="0"/>
  </r>
  <r>
    <n v="46829.999999999971"/>
    <n v="-2799.9999999999927"/>
    <m/>
    <m/>
    <m/>
    <x v="0"/>
  </r>
  <r>
    <n v="627170"/>
    <n v="-37200"/>
    <m/>
    <m/>
    <m/>
    <x v="1"/>
  </r>
  <r>
    <n v="0.93747384155455904"/>
    <m/>
    <m/>
    <m/>
    <m/>
    <x v="0"/>
  </r>
  <r>
    <m/>
    <m/>
    <m/>
    <m/>
    <m/>
    <x v="0"/>
  </r>
  <r>
    <m/>
    <m/>
    <m/>
    <m/>
    <m/>
    <x v="0"/>
  </r>
  <r>
    <n v="627170"/>
    <n v="-37200"/>
    <m/>
    <m/>
    <m/>
    <x v="0"/>
  </r>
  <r>
    <n v="5000"/>
    <n v="0"/>
    <m/>
    <m/>
    <m/>
    <x v="0"/>
  </r>
  <r>
    <n v="5000"/>
    <n v="0"/>
    <m/>
    <m/>
    <m/>
    <x v="0"/>
  </r>
  <r>
    <n v="637170"/>
    <n v="-37200"/>
    <m/>
    <m/>
    <m/>
    <x v="0"/>
  </r>
  <r>
    <m/>
    <m/>
    <m/>
    <m/>
    <m/>
    <x v="0"/>
  </r>
  <r>
    <n v="32000"/>
    <n v="0"/>
    <s v="might be lower"/>
    <m/>
    <m/>
    <x v="2"/>
  </r>
  <r>
    <n v="6000"/>
    <n v="0"/>
    <m/>
    <m/>
    <m/>
    <x v="2"/>
  </r>
  <r>
    <n v="38000"/>
    <n v="0"/>
    <m/>
    <m/>
    <m/>
    <x v="0"/>
  </r>
  <r>
    <n v="1400"/>
    <n v="0"/>
    <m/>
    <m/>
    <m/>
    <x v="0"/>
  </r>
  <r>
    <m/>
    <m/>
    <m/>
    <m/>
    <m/>
    <x v="0"/>
  </r>
  <r>
    <n v="4500"/>
    <n v="0"/>
    <s v="will be cont. rf found chair "/>
    <m/>
    <m/>
    <x v="3"/>
  </r>
  <r>
    <n v="0"/>
    <n v="-5000"/>
    <m/>
    <d v="2014-01-31T00:00:00"/>
    <s v="nvc"/>
    <x v="3"/>
  </r>
  <r>
    <n v="39000"/>
    <n v="35000"/>
    <s v="added 5k UGNO &amp; 30k 5/22"/>
    <m/>
    <s v="?"/>
    <x v="3"/>
  </r>
  <r>
    <n v="43500"/>
    <n v="30000"/>
    <m/>
    <m/>
    <m/>
    <x v="0"/>
  </r>
  <r>
    <m/>
    <m/>
    <m/>
    <m/>
    <m/>
    <x v="0"/>
  </r>
  <r>
    <n v="76936"/>
    <n v="10000"/>
    <s v="added 10k 5/22 to be negtia"/>
    <m/>
    <s v="gj+rb"/>
    <x v="4"/>
  </r>
  <r>
    <n v="40000"/>
    <n v="10000"/>
    <s v="added 5k 5/22 per gj"/>
    <m/>
    <s v="gj"/>
    <x v="4"/>
  </r>
  <r>
    <n v="2400"/>
    <n v="0"/>
    <m/>
    <m/>
    <s v="gj"/>
    <x v="4"/>
  </r>
  <r>
    <n v="33000"/>
    <n v="0"/>
    <m/>
    <m/>
    <s v="gj"/>
    <x v="4"/>
  </r>
  <r>
    <n v="157336"/>
    <n v="25000"/>
    <s v="Higher rates"/>
    <m/>
    <m/>
    <x v="0"/>
  </r>
  <r>
    <m/>
    <m/>
    <m/>
    <m/>
    <m/>
    <x v="0"/>
  </r>
  <r>
    <n v="100"/>
    <n v="0"/>
    <m/>
    <m/>
    <s v="gj"/>
    <x v="0"/>
  </r>
  <r>
    <n v="10000"/>
    <n v="-1655"/>
    <s v="10k 1x for outside audit"/>
    <m/>
    <m/>
    <x v="0"/>
  </r>
  <r>
    <n v="3500"/>
    <n v="0"/>
    <m/>
    <m/>
    <m/>
    <x v="0"/>
  </r>
  <r>
    <n v="29500"/>
    <n v="228"/>
    <s v="Final year of Gift"/>
    <m/>
    <s v="kv"/>
    <x v="5"/>
  </r>
  <r>
    <n v="30000"/>
    <n v="30000"/>
    <s v="tbd, if necessary BOT June"/>
    <m/>
    <s v="bot"/>
    <x v="5"/>
  </r>
  <r>
    <n v="500"/>
    <n v="-1400"/>
    <m/>
    <m/>
    <s v="gj"/>
    <x v="0"/>
  </r>
  <r>
    <n v="73600"/>
    <n v="27173"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n v="951006"/>
    <n v="44973"/>
    <m/>
    <m/>
    <m/>
    <x v="0"/>
  </r>
  <r>
    <m/>
    <m/>
    <m/>
    <m/>
    <m/>
    <x v="0"/>
  </r>
  <r>
    <m/>
    <m/>
    <m/>
    <m/>
    <m/>
    <x v="0"/>
  </r>
  <r>
    <m/>
    <m/>
    <m/>
    <n v="5.0000000000000001E-3"/>
    <m/>
    <x v="0"/>
  </r>
  <r>
    <m/>
    <m/>
    <s v="2 mo overlap"/>
    <m/>
    <m/>
    <x v="0"/>
  </r>
  <r>
    <m/>
    <n v="-6874"/>
    <m/>
    <m/>
    <m/>
    <x v="0"/>
  </r>
  <r>
    <m/>
    <n v="-11052"/>
    <m/>
    <m/>
    <m/>
    <x v="0"/>
  </r>
  <r>
    <m/>
    <n v="-1167"/>
    <m/>
    <m/>
    <m/>
    <x v="0"/>
  </r>
  <r>
    <m/>
    <n v="-3667"/>
    <m/>
    <m/>
    <m/>
    <x v="0"/>
  </r>
  <r>
    <m/>
    <n v="-323"/>
    <m/>
    <m/>
    <m/>
    <x v="0"/>
  </r>
  <r>
    <m/>
    <n v="0"/>
    <m/>
    <m/>
    <m/>
    <x v="0"/>
  </r>
  <r>
    <m/>
    <n v="-207"/>
    <m/>
    <m/>
    <m/>
    <x v="0"/>
  </r>
  <r>
    <n v="0"/>
    <n v="-23290"/>
    <s v="No exp FYE 2015"/>
    <m/>
    <m/>
    <x v="0"/>
  </r>
  <r>
    <m/>
    <m/>
    <s v="Review all Staffing"/>
    <m/>
    <s v="rf"/>
    <x v="0"/>
  </r>
  <r>
    <n v="69116.918000000005"/>
    <n v="-549.08199999999488"/>
    <m/>
    <s v="1moF"/>
    <s v="rf"/>
    <x v="0"/>
  </r>
  <r>
    <n v="50050.182000000001"/>
    <n v="550.1820000000007"/>
    <m/>
    <s v="1moF"/>
    <s v="rf"/>
    <x v="0"/>
  </r>
  <r>
    <n v="11916.71"/>
    <n v="-0.29000000000087311"/>
    <n v="0.1"/>
    <s v="1moF"/>
    <m/>
    <x v="0"/>
  </r>
  <r>
    <n v="8356.6232751105017"/>
    <n v="8356.6232751105017"/>
    <s v="missed in 2014 Bud"/>
    <s v="1moF"/>
    <m/>
    <x v="0"/>
  </r>
  <r>
    <n v="0"/>
    <n v="-13000"/>
    <m/>
    <m/>
    <m/>
    <x v="0"/>
  </r>
  <r>
    <n v="11916.710000000001"/>
    <n v="-0.28999999999905413"/>
    <m/>
    <m/>
    <m/>
    <x v="0"/>
  </r>
  <r>
    <n v="151357.14327999999"/>
    <n v="-4642.8567200000107"/>
    <n v="14710"/>
    <s v="1moF"/>
    <m/>
    <x v="6"/>
  </r>
  <r>
    <m/>
    <m/>
    <m/>
    <m/>
    <m/>
    <x v="0"/>
  </r>
  <r>
    <n v="53924.409999999989"/>
    <n v="441.40999999998894"/>
    <m/>
    <m/>
    <m/>
    <x v="0"/>
  </r>
  <r>
    <n v="35000"/>
    <n v="0"/>
    <m/>
    <m/>
    <m/>
    <x v="0"/>
  </r>
  <r>
    <n v="2775"/>
    <n v="642"/>
    <s v="1st step of gradual increase"/>
    <n v="205"/>
    <s v="rf"/>
    <x v="0"/>
  </r>
  <r>
    <n v="8892.4409999999989"/>
    <n v="44.440999999998894"/>
    <m/>
    <m/>
    <m/>
    <x v="0"/>
  </r>
  <r>
    <n v="100591.851"/>
    <n v="1127.8509999999951"/>
    <m/>
    <m/>
    <m/>
    <x v="7"/>
  </r>
  <r>
    <m/>
    <m/>
    <m/>
    <m/>
    <m/>
    <x v="0"/>
  </r>
  <r>
    <n v="56100"/>
    <n v="0"/>
    <s v="New hire &amp; details unk"/>
    <m/>
    <m/>
    <x v="8"/>
  </r>
  <r>
    <n v="20255.774999999998"/>
    <n v="100.77499999999782"/>
    <m/>
    <m/>
    <m/>
    <x v="8"/>
  </r>
  <r>
    <n v="10400"/>
    <n v="-6430"/>
    <s v="job chnged to 10 hr @20"/>
    <m/>
    <m/>
    <x v="9"/>
  </r>
  <r>
    <n v="53817.749999999993"/>
    <n v="267.74999999999272"/>
    <m/>
    <m/>
    <m/>
    <x v="9"/>
  </r>
  <r>
    <n v="2775"/>
    <n v="225"/>
    <s v="1st step of gradual increase"/>
    <n v="225"/>
    <m/>
    <x v="9"/>
  </r>
  <r>
    <n v="10400"/>
    <n v="10400"/>
    <s v="temp made perm staff"/>
    <m/>
    <s v="rf"/>
    <x v="9"/>
  </r>
  <r>
    <n v="43415.999999999993"/>
    <n v="3108.9999999999927"/>
    <m/>
    <m/>
    <m/>
    <x v="10"/>
  </r>
  <r>
    <n v="9360"/>
    <n v="9360"/>
    <s v="New to staff/fm Maint svc; Sun &amp; events"/>
    <m/>
    <m/>
    <x v="10"/>
  </r>
  <r>
    <n v="68013.375"/>
    <n v="336.375"/>
    <m/>
    <m/>
    <m/>
    <x v="11"/>
  </r>
  <r>
    <n v="3000"/>
    <n v="0"/>
    <s v="moved from Program L5538"/>
    <m/>
    <m/>
    <x v="11"/>
  </r>
  <r>
    <n v="277537.90000000002"/>
    <n v="17368.900000000023"/>
    <m/>
    <m/>
    <m/>
    <x v="0"/>
  </r>
  <r>
    <m/>
    <m/>
    <m/>
    <m/>
    <m/>
    <x v="0"/>
  </r>
  <r>
    <n v="5610"/>
    <n v="0"/>
    <s v="Need to review with new hire"/>
    <m/>
    <m/>
    <x v="8"/>
  </r>
  <r>
    <n v="2025.5774999999999"/>
    <n v="9.5774999999998727"/>
    <m/>
    <m/>
    <m/>
    <x v="8"/>
  </r>
  <r>
    <n v="5381.7749999999996"/>
    <n v="26.774999999999636"/>
    <m/>
    <m/>
    <m/>
    <x v="9"/>
  </r>
  <r>
    <n v="4341.5999999999995"/>
    <n v="310.59999999999945"/>
    <s v="review"/>
    <m/>
    <s v="gj"/>
    <x v="10"/>
  </r>
  <r>
    <n v="6801.3375000000005"/>
    <n v="33.337500000000546"/>
    <m/>
    <m/>
    <m/>
    <x v="11"/>
  </r>
  <r>
    <n v="24160.29"/>
    <n v="380.29000000000087"/>
    <m/>
    <m/>
    <m/>
    <x v="0"/>
  </r>
  <r>
    <m/>
    <m/>
    <s v="Have to finish update"/>
    <m/>
    <m/>
    <x v="0"/>
  </r>
  <r>
    <n v="23886.554514645948"/>
    <n v="-8877.4454853540519"/>
    <m/>
    <m/>
    <s v="gj"/>
    <x v="0"/>
  </r>
  <r>
    <n v="81458.588400000008"/>
    <n v="15620.588400000008"/>
    <m/>
    <m/>
    <s v="gj"/>
    <x v="0"/>
  </r>
  <r>
    <n v="0"/>
    <n v="0"/>
    <s v="Proposing general increase?"/>
    <m/>
    <s v="rf"/>
    <x v="0"/>
  </r>
  <r>
    <n v="6550.6627759999983"/>
    <n v="766.6627759999983"/>
    <s v="may be higher eff 1/1"/>
    <m/>
    <s v="gj"/>
    <x v="0"/>
  </r>
  <r>
    <n v="2987.0360000000001"/>
    <n v="3.0360000000000582"/>
    <m/>
    <m/>
    <s v="gj"/>
    <x v="0"/>
  </r>
  <r>
    <n v="114882.84169064596"/>
    <n v="7512.8416906459606"/>
    <m/>
    <m/>
    <m/>
    <x v="0"/>
  </r>
  <r>
    <n v="668530"/>
    <n v="-1543"/>
    <s v="note 1% cola included- EFF. 1/1"/>
    <m/>
    <m/>
    <x v="0"/>
  </r>
  <r>
    <m/>
    <m/>
    <m/>
    <m/>
    <m/>
    <x v="0"/>
  </r>
  <r>
    <n v="2500"/>
    <n v="0"/>
    <m/>
    <m/>
    <s v="gj"/>
    <x v="0"/>
  </r>
  <r>
    <n v="13000"/>
    <n v="1000"/>
    <s v="actual 2014,lift"/>
    <m/>
    <s v="gj"/>
    <x v="0"/>
  </r>
  <r>
    <n v="3800"/>
    <n v="0"/>
    <m/>
    <m/>
    <s v="gj"/>
    <x v="0"/>
  </r>
  <r>
    <n v="2300"/>
    <n v="0"/>
    <m/>
    <m/>
    <s v="gj"/>
    <x v="0"/>
  </r>
  <r>
    <n v="7000"/>
    <n v="0"/>
    <m/>
    <m/>
    <s v="gj"/>
    <x v="0"/>
  </r>
  <r>
    <n v="28600"/>
    <n v="1000"/>
    <m/>
    <m/>
    <s v="gj"/>
    <x v="10"/>
  </r>
  <r>
    <m/>
    <m/>
    <m/>
    <m/>
    <m/>
    <x v="0"/>
  </r>
  <r>
    <m/>
    <m/>
    <m/>
    <m/>
    <m/>
    <x v="0"/>
  </r>
  <r>
    <n v="6200"/>
    <n v="0"/>
    <m/>
    <m/>
    <s v="gj"/>
    <x v="0"/>
  </r>
  <r>
    <n v="2440"/>
    <n v="-9360"/>
    <s v="moved Sext Asst to staff"/>
    <m/>
    <m/>
    <x v="0"/>
  </r>
  <r>
    <n v="10000"/>
    <n v="0"/>
    <m/>
    <m/>
    <s v="gj"/>
    <x v="0"/>
  </r>
  <r>
    <n v="12000"/>
    <n v="0"/>
    <m/>
    <m/>
    <s v="gj"/>
    <x v="0"/>
  </r>
  <r>
    <n v="20000"/>
    <n v="0"/>
    <m/>
    <m/>
    <m/>
    <x v="0"/>
  </r>
  <r>
    <n v="50640"/>
    <n v="-9360"/>
    <m/>
    <m/>
    <m/>
    <x v="10"/>
  </r>
  <r>
    <m/>
    <m/>
    <m/>
    <m/>
    <m/>
    <x v="0"/>
  </r>
  <r>
    <n v="3200"/>
    <n v="0"/>
    <m/>
    <m/>
    <s v="gj"/>
    <x v="0"/>
  </r>
  <r>
    <n v="7500"/>
    <n v="4000"/>
    <s v="gift no longer available "/>
    <m/>
    <s v="gj"/>
    <x v="0"/>
  </r>
  <r>
    <n v="4500"/>
    <n v="0"/>
    <m/>
    <m/>
    <s v="gj"/>
    <x v="0"/>
  </r>
  <r>
    <n v="15200"/>
    <n v="4000"/>
    <m/>
    <m/>
    <s v="gj"/>
    <x v="10"/>
  </r>
  <r>
    <m/>
    <m/>
    <m/>
    <m/>
    <m/>
    <x v="0"/>
  </r>
  <r>
    <n v="7510"/>
    <n v="-1490"/>
    <s v="Higher deductible"/>
    <m/>
    <s v="gj"/>
    <x v="0"/>
  </r>
  <r>
    <n v="1700"/>
    <n v="0"/>
    <m/>
    <m/>
    <s v="gj"/>
    <x v="0"/>
  </r>
  <r>
    <n v="9210"/>
    <n v="-1490"/>
    <m/>
    <m/>
    <s v="gj"/>
    <x v="10"/>
  </r>
  <r>
    <m/>
    <m/>
    <m/>
    <m/>
    <m/>
    <x v="0"/>
  </r>
  <r>
    <m/>
    <m/>
    <m/>
    <m/>
    <m/>
    <x v="0"/>
  </r>
  <r>
    <n v="3500"/>
    <n v="0"/>
    <m/>
    <m/>
    <s v="gj"/>
    <x v="0"/>
  </r>
  <r>
    <n v="200"/>
    <n v="0"/>
    <m/>
    <m/>
    <s v="gj"/>
    <x v="0"/>
  </r>
  <r>
    <n v="500"/>
    <n v="0"/>
    <s v="reduced by 3.1k 5/22"/>
    <m/>
    <s v="rf"/>
    <x v="0"/>
  </r>
  <r>
    <n v="1750"/>
    <n v="750"/>
    <s v="added 750 for accomp"/>
    <m/>
    <s v="lh-rf"/>
    <x v="0"/>
  </r>
  <r>
    <n v="500"/>
    <n v="-1500"/>
    <s v="corrected buckets w/guest"/>
    <m/>
    <s v="rf"/>
    <x v="0"/>
  </r>
  <r>
    <n v="6450"/>
    <n v="-750"/>
    <m/>
    <m/>
    <m/>
    <x v="6"/>
  </r>
  <r>
    <m/>
    <m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n v="500"/>
    <n v="0"/>
    <m/>
    <m/>
    <s v="mc"/>
    <x v="0"/>
  </r>
  <r>
    <n v="5000"/>
    <n v="0"/>
    <s v="childcare perm"/>
    <m/>
    <s v="mc"/>
    <x v="0"/>
  </r>
  <r>
    <m/>
    <m/>
    <m/>
    <m/>
    <m/>
    <x v="0"/>
  </r>
  <r>
    <n v="2000"/>
    <n v="0"/>
    <m/>
    <m/>
    <s v="mc"/>
    <x v="0"/>
  </r>
  <r>
    <n v="1000"/>
    <n v="0"/>
    <m/>
    <m/>
    <s v="mc"/>
    <x v="0"/>
  </r>
  <r>
    <n v="2000"/>
    <n v="0"/>
    <m/>
    <m/>
    <s v="mc"/>
    <x v="0"/>
  </r>
  <r>
    <n v="1000"/>
    <n v="0"/>
    <m/>
    <m/>
    <s v="mc"/>
    <x v="0"/>
  </r>
  <r>
    <n v="2000"/>
    <n v="0"/>
    <s v="prof devel"/>
    <m/>
    <s v="mc"/>
    <x v="0"/>
  </r>
  <r>
    <n v="13500"/>
    <n v="0"/>
    <m/>
    <m/>
    <s v="mc"/>
    <x v="0"/>
  </r>
  <r>
    <n v="2400"/>
    <n v="0"/>
    <s v="prof devel"/>
    <m/>
    <s v="mc"/>
    <x v="0"/>
  </r>
  <r>
    <n v="15900"/>
    <n v="0"/>
    <m/>
    <m/>
    <s v="mc"/>
    <x v="9"/>
  </r>
  <r>
    <m/>
    <m/>
    <m/>
    <m/>
    <m/>
    <x v="0"/>
  </r>
  <r>
    <n v="6900"/>
    <n v="0"/>
    <s v="added 2k piano acc O&amp;AF, zeroed with rf"/>
    <m/>
    <s v="et-rf"/>
    <x v="7"/>
  </r>
  <r>
    <m/>
    <m/>
    <m/>
    <m/>
    <m/>
    <x v="0"/>
  </r>
  <r>
    <n v="1500"/>
    <n v="0"/>
    <m/>
    <m/>
    <s v="dv"/>
    <x v="11"/>
  </r>
  <r>
    <m/>
    <m/>
    <m/>
    <m/>
    <m/>
    <x v="0"/>
  </r>
  <r>
    <n v="1500"/>
    <n v="0"/>
    <s v=" "/>
    <m/>
    <s v="dv"/>
    <x v="11"/>
  </r>
  <r>
    <m/>
    <m/>
    <m/>
    <m/>
    <m/>
    <x v="0"/>
  </r>
  <r>
    <n v="950"/>
    <n v="450"/>
    <s v="cut inc to 450 on5/22"/>
    <n v="450"/>
    <s v="dv"/>
    <x v="0"/>
  </r>
  <r>
    <n v="100"/>
    <n v="0"/>
    <m/>
    <m/>
    <s v="aa"/>
    <x v="0"/>
  </r>
  <r>
    <n v="300"/>
    <n v="-200"/>
    <s v="P"/>
    <s v="3..26"/>
    <s v="sr"/>
    <x v="0"/>
  </r>
  <r>
    <n v="1400"/>
    <n v="900"/>
    <s v="Cov-Stip 1/14 rev w/rf"/>
    <n v="900"/>
    <s v="dh-rf"/>
    <x v="0"/>
  </r>
  <r>
    <n v="300"/>
    <n v="-200"/>
    <s v="U"/>
    <s v="3..30"/>
    <s v="jf"/>
    <x v="0"/>
  </r>
  <r>
    <n v="0"/>
    <n v="0"/>
    <m/>
    <m/>
    <m/>
    <x v="0"/>
  </r>
  <r>
    <n v="3050"/>
    <n v="950"/>
    <m/>
    <m/>
    <m/>
    <x v="6"/>
  </r>
  <r>
    <n v="27350"/>
    <n v="950"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n v="3000"/>
    <n v="100"/>
    <m/>
    <m/>
    <s v="gj"/>
    <x v="0"/>
  </r>
  <r>
    <n v="3800"/>
    <n v="0"/>
    <m/>
    <m/>
    <s v="gj"/>
    <x v="0"/>
  </r>
  <r>
    <n v="6000"/>
    <n v="200"/>
    <s v="includes Cablevision"/>
    <m/>
    <s v="gj"/>
    <x v="0"/>
  </r>
  <r>
    <n v="2500"/>
    <n v="-1100"/>
    <m/>
    <m/>
    <s v="gj"/>
    <x v="0"/>
  </r>
  <r>
    <n v="0"/>
    <n v="0"/>
    <s v="delete"/>
    <m/>
    <s v="gj"/>
    <x v="0"/>
  </r>
  <r>
    <m/>
    <n v="0"/>
    <s v="delete"/>
    <m/>
    <s v="gj"/>
    <x v="0"/>
  </r>
  <r>
    <n v="0"/>
    <n v="0"/>
    <s v="delete"/>
    <m/>
    <s v="gj"/>
    <x v="0"/>
  </r>
  <r>
    <n v="0"/>
    <n v="0"/>
    <m/>
    <m/>
    <s v="gj"/>
    <x v="0"/>
  </r>
  <r>
    <n v="15300"/>
    <n v="-800"/>
    <m/>
    <m/>
    <s v="gj"/>
    <x v="8"/>
  </r>
  <r>
    <m/>
    <m/>
    <m/>
    <m/>
    <m/>
    <x v="0"/>
  </r>
  <r>
    <m/>
    <m/>
    <m/>
    <m/>
    <m/>
    <x v="0"/>
  </r>
  <r>
    <n v="7200"/>
    <n v="0"/>
    <m/>
    <m/>
    <s v="gj"/>
    <x v="0"/>
  </r>
  <r>
    <n v="2800"/>
    <n v="0"/>
    <m/>
    <m/>
    <s v="gj"/>
    <x v="0"/>
  </r>
  <r>
    <n v="2700"/>
    <n v="0"/>
    <s v="NerdsTG 2k gj back 4/10"/>
    <m/>
    <s v="gj"/>
    <x v="0"/>
  </r>
  <r>
    <m/>
    <m/>
    <m/>
    <m/>
    <m/>
    <x v="0"/>
  </r>
  <r>
    <n v="1500"/>
    <n v="300"/>
    <s v="see ck memo"/>
    <d v="2014-03-16T00:00:00"/>
    <s v="ck"/>
    <x v="12"/>
  </r>
  <r>
    <n v="14200"/>
    <n v="300"/>
    <m/>
    <m/>
    <s v="gj"/>
    <x v="8"/>
  </r>
  <r>
    <m/>
    <m/>
    <m/>
    <m/>
    <m/>
    <x v="0"/>
  </r>
  <r>
    <n v="29500"/>
    <n v="-500"/>
    <m/>
    <m/>
    <m/>
    <x v="0"/>
  </r>
  <r>
    <m/>
    <m/>
    <m/>
    <m/>
    <m/>
    <x v="0"/>
  </r>
  <r>
    <m/>
    <m/>
    <s v=" Cert Mem  2/14"/>
    <m/>
    <m/>
    <x v="0"/>
  </r>
  <r>
    <n v="29220"/>
    <n v="540"/>
    <n v="493"/>
    <n v="60"/>
    <s v="gj"/>
    <x v="0"/>
  </r>
  <r>
    <n v="13149"/>
    <n v="243"/>
    <n v="493"/>
    <n v="27"/>
    <s v="gj"/>
    <x v="0"/>
  </r>
  <r>
    <m/>
    <m/>
    <m/>
    <m/>
    <m/>
    <x v="0"/>
  </r>
  <r>
    <n v="42369"/>
    <n v="783"/>
    <m/>
    <m/>
    <m/>
    <x v="13"/>
  </r>
  <r>
    <m/>
    <m/>
    <m/>
    <m/>
    <m/>
    <x v="0"/>
  </r>
  <r>
    <m/>
    <m/>
    <m/>
    <m/>
    <m/>
    <x v="0"/>
  </r>
  <r>
    <n v="2000"/>
    <n v="1000"/>
    <s v="reduced by 1k 5/22"/>
    <m/>
    <s v="rf"/>
    <x v="0"/>
  </r>
  <r>
    <n v="0"/>
    <n v="0"/>
    <s v="New staff , agreed with rf to zero"/>
    <m/>
    <s v="rf"/>
    <x v="0"/>
  </r>
  <r>
    <n v="0"/>
    <n v="0"/>
    <s v="new, agreed with rf to zero"/>
    <m/>
    <s v="rf"/>
    <x v="0"/>
  </r>
  <r>
    <n v="2000"/>
    <n v="2000"/>
    <m/>
    <m/>
    <m/>
    <x v="8"/>
  </r>
  <r>
    <m/>
    <m/>
    <m/>
    <m/>
    <m/>
    <x v="0"/>
  </r>
  <r>
    <n v="7500"/>
    <n v="2500"/>
    <m/>
    <s v="3..30"/>
    <s v="ds"/>
    <x v="8"/>
  </r>
  <r>
    <m/>
    <m/>
    <m/>
    <m/>
    <m/>
    <x v="0"/>
  </r>
  <r>
    <n v="10000"/>
    <n v="10000"/>
    <s v="Endowment cover this 1 x"/>
    <m/>
    <s v="?"/>
    <x v="8"/>
  </r>
  <r>
    <m/>
    <m/>
    <m/>
    <m/>
    <m/>
    <x v="0"/>
  </r>
  <r>
    <n v="10974.599999999999"/>
    <n v="54.599999999998545"/>
    <s v="added &quot;1% COLA&quot;"/>
    <m/>
    <s v="gj"/>
    <x v="8"/>
  </r>
  <r>
    <m/>
    <m/>
    <n v="10920"/>
    <n v="5.0000000000000001E-3"/>
    <m/>
    <x v="0"/>
  </r>
  <r>
    <m/>
    <m/>
    <s v="8hr,52wk,$35 = $14,560A,1,213M"/>
    <m/>
    <m/>
    <x v="0"/>
  </r>
  <r>
    <n v="5000"/>
    <n v="0"/>
    <m/>
    <m/>
    <s v="rb"/>
    <x v="8"/>
  </r>
  <r>
    <n v="0"/>
    <n v="0"/>
    <s v="elim 3.5k 5/22"/>
    <m/>
    <s v="rf"/>
    <x v="0"/>
  </r>
  <r>
    <n v="500"/>
    <n v="0"/>
    <m/>
    <m/>
    <s v="rb"/>
    <x v="8"/>
  </r>
  <r>
    <n v="0"/>
    <n v="0"/>
    <m/>
    <m/>
    <m/>
    <x v="0"/>
  </r>
  <r>
    <n v="0"/>
    <n v="0"/>
    <m/>
    <m/>
    <m/>
    <x v="0"/>
  </r>
  <r>
    <n v="0"/>
    <n v="0"/>
    <m/>
    <m/>
    <m/>
    <x v="0"/>
  </r>
  <r>
    <n v="8000"/>
    <n v="800"/>
    <m/>
    <m/>
    <s v="gj"/>
    <x v="8"/>
  </r>
  <r>
    <n v="100"/>
    <n v="0"/>
    <m/>
    <m/>
    <s v="gj"/>
    <x v="8"/>
  </r>
  <r>
    <n v="15000"/>
    <n v="15000"/>
    <s v="revised up 3/17 per memo"/>
    <m/>
    <s v="kv"/>
    <x v="6"/>
  </r>
  <r>
    <n v="1200"/>
    <n v="0"/>
    <m/>
    <m/>
    <s v="gj"/>
    <x v="10"/>
  </r>
  <r>
    <n v="750"/>
    <n v="750"/>
    <m/>
    <m/>
    <m/>
    <x v="10"/>
  </r>
  <r>
    <n v="600"/>
    <n v="-1500"/>
    <s v="chg buckets"/>
    <m/>
    <s v="gj"/>
    <x v="10"/>
  </r>
  <r>
    <n v="0"/>
    <n v="0"/>
    <m/>
    <m/>
    <m/>
    <x v="0"/>
  </r>
  <r>
    <n v="31150"/>
    <n v="15050"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m/>
    <m/>
    <m/>
    <m/>
    <m/>
    <x v="0"/>
  </r>
  <r>
    <n v="10000"/>
    <n v="-26000"/>
    <s v="reduced by 10k 5/22"/>
    <m/>
    <s v="FC+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5" showDrill="0" showMemberPropertyTips="0" useAutoFormatting="1" itemPrintTitles="1" createdVersion="1" indent="0" showHeaders="0" compact="0" compactData="0" gridDropZones="1" chartFormat="6" fieldListSortAscending="1">
  <location ref="R18:S27" firstHeaderRow="2" firstDataRow="2" firstDataCol="1"/>
  <pivotFields count="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multipleItemSelectionAllowed="1" showAll="0" includeNewItemsInFilter="1">
      <items count="15">
        <item h="1" x="12"/>
        <item x="8"/>
        <item x="10"/>
        <item x="13"/>
        <item h="1" x="3"/>
        <item x="7"/>
        <item h="1" x="2"/>
        <item h="1" x="1"/>
        <item x="9"/>
        <item h="1" x="4"/>
        <item x="11"/>
        <item h="1" x="5"/>
        <item x="6"/>
        <item h="1" x="0"/>
        <item t="default"/>
      </items>
    </pivotField>
  </pivotFields>
  <rowFields count="1">
    <field x="5"/>
  </rowFields>
  <rowItems count="8">
    <i>
      <x v="1"/>
    </i>
    <i>
      <x v="2"/>
    </i>
    <i>
      <x v="3"/>
    </i>
    <i>
      <x v="5"/>
    </i>
    <i>
      <x v="8"/>
    </i>
    <i>
      <x v="10"/>
    </i>
    <i>
      <x v="12"/>
    </i>
    <i t="grand">
      <x/>
    </i>
  </rowItems>
  <colItems count="1">
    <i/>
  </colItems>
  <dataFields count="1">
    <dataField name="Sum of 2015" fld="0" baseField="5" baseItem="0" numFmtId="4"/>
  </dataFields>
  <formats count="2">
    <format dxfId="1">
      <pivotArea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 chartFormat="6">
  <location ref="R9:S16" firstHeaderRow="2" firstDataRow="2" firstDataCol="1"/>
  <pivotFields count="6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multipleItemSelectionAllowed="1" showAll="0" includeNewItemsInFilter="1">
      <items count="15">
        <item h="1" x="12"/>
        <item h="1" x="8"/>
        <item h="1" x="10"/>
        <item h="1" x="13"/>
        <item x="3"/>
        <item h="1" x="7"/>
        <item x="2"/>
        <item x="1"/>
        <item h="1" x="9"/>
        <item x="4"/>
        <item h="1" x="11"/>
        <item x="5"/>
        <item h="1" x="6"/>
        <item h="1" x="0"/>
        <item t="default"/>
      </items>
    </pivotField>
  </pivotFields>
  <rowFields count="1">
    <field x="5"/>
  </rowFields>
  <rowItems count="6">
    <i>
      <x v="4"/>
    </i>
    <i>
      <x v="6"/>
    </i>
    <i>
      <x v="7"/>
    </i>
    <i>
      <x v="9"/>
    </i>
    <i>
      <x v="11"/>
    </i>
    <i t="grand">
      <x/>
    </i>
  </rowItems>
  <colItems count="1">
    <i/>
  </colItems>
  <dataFields count="1">
    <dataField name="Sum of 2015" fld="0" baseField="5" baseItem="0" numFmtId="4"/>
  </dataFields>
  <formats count="2">
    <format dxfId="3">
      <pivotArea outline="0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Y46"/>
  <sheetViews>
    <sheetView tabSelected="1" zoomScale="94" zoomScaleNormal="150" zoomScalePageLayoutView="150" workbookViewId="0">
      <selection activeCell="G3" sqref="G3"/>
    </sheetView>
  </sheetViews>
  <sheetFormatPr baseColWidth="10" defaultColWidth="10.7109375" defaultRowHeight="13"/>
  <cols>
    <col min="1" max="1" width="1.140625" style="2" customWidth="1"/>
    <col min="2" max="2" width="31.42578125" style="2" customWidth="1"/>
    <col min="3" max="3" width="10.28515625" style="2" customWidth="1"/>
    <col min="4" max="4" width="11" style="2" customWidth="1"/>
    <col min="5" max="5" width="10.42578125" style="2" customWidth="1"/>
    <col min="6" max="6" width="1" style="2" customWidth="1"/>
    <col min="7" max="7" width="35.5703125" style="2" customWidth="1"/>
    <col min="8" max="8" width="11" style="2" customWidth="1"/>
    <col min="9" max="9" width="0.42578125" style="2" customWidth="1"/>
    <col min="10" max="10" width="7.85546875" style="2" customWidth="1"/>
    <col min="11" max="11" width="1.42578125" style="2" customWidth="1"/>
    <col min="12" max="12" width="39.28515625" style="2" bestFit="1" customWidth="1"/>
    <col min="13" max="13" width="2.140625" style="2" customWidth="1"/>
    <col min="14" max="15" width="2" style="2" customWidth="1"/>
    <col min="16" max="16" width="20.42578125" style="2" bestFit="1" customWidth="1"/>
    <col min="17" max="19" width="9.42578125" style="2" bestFit="1" customWidth="1"/>
    <col min="20" max="20" width="8.42578125" style="2" customWidth="1"/>
    <col min="21" max="21" width="2.42578125" style="2" customWidth="1"/>
    <col min="22" max="22" width="1.85546875" style="2" customWidth="1"/>
    <col min="23" max="23" width="4.42578125" style="2" customWidth="1"/>
    <col min="24" max="24" width="10.7109375" style="2"/>
    <col min="25" max="25" width="14.42578125" style="2" customWidth="1"/>
    <col min="26" max="16384" width="10.7109375" style="2"/>
  </cols>
  <sheetData>
    <row r="1" spans="2:25" s="1" customFormat="1" ht="20.25" customHeight="1">
      <c r="B1" s="106" t="s">
        <v>84</v>
      </c>
      <c r="C1" s="167"/>
      <c r="D1" s="166"/>
      <c r="E1" s="141"/>
      <c r="F1" s="141"/>
      <c r="G1" s="136" t="s">
        <v>82</v>
      </c>
      <c r="L1" s="67"/>
      <c r="M1" s="67"/>
      <c r="Q1" s="90"/>
      <c r="R1" s="93"/>
      <c r="S1" s="70"/>
    </row>
    <row r="2" spans="2:25" s="1" customFormat="1" ht="20.25" customHeight="1">
      <c r="B2" s="106"/>
      <c r="C2" s="167"/>
      <c r="D2" s="166"/>
      <c r="E2" s="141"/>
      <c r="F2" s="141"/>
      <c r="G2" s="136"/>
      <c r="L2" s="67"/>
      <c r="M2" s="67"/>
      <c r="Q2" s="90"/>
      <c r="R2" s="93"/>
      <c r="S2" s="70"/>
    </row>
    <row r="3" spans="2:25" s="1" customFormat="1">
      <c r="B3" s="131" t="s">
        <v>136</v>
      </c>
      <c r="C3" s="182" t="s">
        <v>86</v>
      </c>
      <c r="D3" s="238" t="s">
        <v>22</v>
      </c>
      <c r="J3" s="70"/>
      <c r="K3" s="92"/>
      <c r="N3" s="2"/>
      <c r="O3" s="2"/>
      <c r="T3" s="67"/>
    </row>
    <row r="4" spans="2:25">
      <c r="B4" s="132" t="s">
        <v>210</v>
      </c>
      <c r="C4" s="271"/>
      <c r="D4" s="212"/>
      <c r="T4" s="67"/>
      <c r="W4" s="67"/>
    </row>
    <row r="5" spans="2:25">
      <c r="B5" s="101" t="s">
        <v>132</v>
      </c>
      <c r="C5" s="226">
        <v>637170</v>
      </c>
      <c r="D5" s="226">
        <v>-37200</v>
      </c>
      <c r="F5" s="70"/>
      <c r="J5"/>
      <c r="T5" s="72"/>
      <c r="X5" s="70"/>
    </row>
    <row r="6" spans="2:25">
      <c r="B6" s="103" t="s">
        <v>182</v>
      </c>
      <c r="C6" s="226">
        <v>157336</v>
      </c>
      <c r="D6" s="226">
        <v>25000</v>
      </c>
      <c r="J6"/>
      <c r="T6" s="72"/>
      <c r="W6" s="70"/>
      <c r="X6" s="70"/>
    </row>
    <row r="7" spans="2:25">
      <c r="B7" s="102" t="s">
        <v>180</v>
      </c>
      <c r="C7" s="226">
        <v>38000</v>
      </c>
      <c r="D7" s="226">
        <v>0</v>
      </c>
      <c r="J7" s="70"/>
      <c r="T7" s="84"/>
      <c r="U7" s="64"/>
      <c r="V7" s="64"/>
      <c r="W7" s="91"/>
      <c r="X7" s="91"/>
      <c r="Y7" s="64"/>
    </row>
    <row r="8" spans="2:25">
      <c r="B8" s="102" t="s">
        <v>181</v>
      </c>
      <c r="C8" s="226">
        <v>43500</v>
      </c>
      <c r="D8" s="226">
        <v>30000</v>
      </c>
      <c r="J8" s="140"/>
      <c r="K8" s="140"/>
      <c r="T8" s="3"/>
      <c r="W8" s="70"/>
      <c r="X8" s="70"/>
    </row>
    <row r="9" spans="2:25">
      <c r="B9" s="103" t="s">
        <v>218</v>
      </c>
      <c r="C9" s="226">
        <v>75000</v>
      </c>
      <c r="D9" s="226">
        <v>27173</v>
      </c>
      <c r="J9" s="70"/>
      <c r="T9" s="71"/>
      <c r="W9" s="70"/>
      <c r="X9" s="70"/>
    </row>
    <row r="10" spans="2:25">
      <c r="B10" s="103"/>
      <c r="C10" s="272"/>
      <c r="D10" s="139"/>
      <c r="F10" s="70"/>
      <c r="I10" s="64"/>
      <c r="J10" s="70"/>
      <c r="T10" s="71"/>
      <c r="W10" s="70"/>
      <c r="X10" s="70"/>
    </row>
    <row r="11" spans="2:25">
      <c r="B11" s="98" t="s">
        <v>179</v>
      </c>
      <c r="C11" s="213">
        <v>951006</v>
      </c>
      <c r="D11" s="213">
        <v>44973</v>
      </c>
      <c r="I11"/>
      <c r="T11" s="71"/>
      <c r="W11" s="70"/>
      <c r="X11" s="70"/>
    </row>
    <row r="12" spans="2:25">
      <c r="B12" s="214"/>
      <c r="C12" s="234"/>
      <c r="D12" s="139"/>
      <c r="I12"/>
      <c r="T12" s="3"/>
      <c r="W12" s="70"/>
      <c r="X12" s="70"/>
    </row>
    <row r="13" spans="2:25">
      <c r="B13" s="98" t="s">
        <v>211</v>
      </c>
      <c r="C13" s="273"/>
      <c r="D13" s="139"/>
      <c r="F13" s="70"/>
      <c r="I13"/>
      <c r="J13" s="70"/>
      <c r="T13" s="3"/>
      <c r="U13" s="91"/>
      <c r="V13" s="91"/>
      <c r="W13" s="91"/>
      <c r="X13" s="91"/>
      <c r="Y13" s="91"/>
    </row>
    <row r="14" spans="2:25">
      <c r="B14" s="103" t="s">
        <v>194</v>
      </c>
      <c r="C14" s="226">
        <v>668530</v>
      </c>
      <c r="D14" s="226">
        <v>-1543</v>
      </c>
      <c r="F14" s="70"/>
      <c r="I14"/>
      <c r="J14" s="70"/>
      <c r="L14" s="70"/>
      <c r="T14" s="71"/>
      <c r="X14" s="70"/>
    </row>
    <row r="15" spans="2:25">
      <c r="B15" s="102" t="s">
        <v>183</v>
      </c>
      <c r="C15" s="226">
        <v>103650</v>
      </c>
      <c r="D15" s="226">
        <v>-5850</v>
      </c>
      <c r="F15" s="70"/>
      <c r="L15" s="70"/>
      <c r="T15" s="71"/>
      <c r="X15" s="70"/>
    </row>
    <row r="16" spans="2:25">
      <c r="B16" s="102" t="s">
        <v>184</v>
      </c>
      <c r="C16" s="226">
        <v>33800</v>
      </c>
      <c r="D16" s="226">
        <v>200</v>
      </c>
      <c r="F16" s="70"/>
      <c r="L16" s="70"/>
      <c r="T16" s="71"/>
      <c r="X16" s="70"/>
    </row>
    <row r="17" spans="2:25">
      <c r="B17" s="104" t="s">
        <v>227</v>
      </c>
      <c r="C17" s="226">
        <v>42369</v>
      </c>
      <c r="D17" s="226">
        <v>783</v>
      </c>
      <c r="T17" s="71"/>
      <c r="X17" s="70"/>
    </row>
    <row r="18" spans="2:25">
      <c r="B18" s="104" t="s">
        <v>290</v>
      </c>
      <c r="C18" s="226">
        <v>29500</v>
      </c>
      <c r="D18" s="226">
        <v>-500</v>
      </c>
      <c r="K18" s="63"/>
      <c r="T18" s="71"/>
      <c r="X18" s="70"/>
    </row>
    <row r="19" spans="2:25">
      <c r="B19" s="102" t="s">
        <v>186</v>
      </c>
      <c r="C19" s="226">
        <v>29074.6</v>
      </c>
      <c r="D19" s="226">
        <v>10854.599999999999</v>
      </c>
      <c r="K19" s="3"/>
      <c r="T19" s="71"/>
      <c r="X19" s="70"/>
    </row>
    <row r="20" spans="2:25">
      <c r="B20" s="102" t="s">
        <v>97</v>
      </c>
      <c r="C20" s="226">
        <v>2000</v>
      </c>
      <c r="D20" s="226">
        <v>2000</v>
      </c>
      <c r="K20" s="3"/>
      <c r="T20" s="71"/>
      <c r="X20" s="70"/>
    </row>
    <row r="21" spans="2:25">
      <c r="B21" s="102" t="s">
        <v>14</v>
      </c>
      <c r="C21" s="226">
        <v>28000</v>
      </c>
      <c r="D21" s="226">
        <v>17500</v>
      </c>
      <c r="G21" s="70"/>
      <c r="T21" s="71"/>
    </row>
    <row r="22" spans="2:25">
      <c r="B22" s="102" t="s">
        <v>127</v>
      </c>
      <c r="C22" s="226">
        <v>10000</v>
      </c>
      <c r="D22" s="226">
        <v>-26000</v>
      </c>
      <c r="T22" s="71"/>
    </row>
    <row r="23" spans="2:25">
      <c r="B23" s="165" t="s">
        <v>185</v>
      </c>
      <c r="C23" s="226">
        <v>2550</v>
      </c>
      <c r="D23" s="226">
        <v>-750</v>
      </c>
      <c r="T23" s="84"/>
      <c r="U23" s="64"/>
      <c r="V23" s="64"/>
      <c r="W23" s="64"/>
      <c r="X23" s="89"/>
      <c r="Y23" s="64"/>
    </row>
    <row r="24" spans="2:25" ht="12.75" customHeight="1">
      <c r="B24" s="99" t="s">
        <v>187</v>
      </c>
      <c r="C24" s="270">
        <v>949473.6</v>
      </c>
      <c r="D24" s="270">
        <v>-3305.4000000000015</v>
      </c>
      <c r="F24" s="70"/>
      <c r="T24" s="84"/>
      <c r="U24" s="64"/>
      <c r="V24" s="64"/>
      <c r="W24" s="64"/>
      <c r="X24" s="64"/>
      <c r="Y24" s="64"/>
    </row>
    <row r="25" spans="2:25">
      <c r="B25" s="236"/>
      <c r="C25" s="274"/>
      <c r="D25" s="237"/>
      <c r="T25" s="84"/>
      <c r="U25" s="64"/>
      <c r="V25" s="64"/>
      <c r="W25" s="64"/>
      <c r="X25" s="64"/>
      <c r="Y25" s="64"/>
    </row>
    <row r="26" spans="2:25" ht="14.25">
      <c r="B26" s="100" t="s">
        <v>188</v>
      </c>
      <c r="C26" s="211">
        <v>1532.4000000000233</v>
      </c>
      <c r="D26" s="105"/>
      <c r="E26" s="3"/>
      <c r="F26" s="71"/>
      <c r="S26" s="63"/>
      <c r="T26" s="84"/>
      <c r="U26" s="64"/>
      <c r="V26" s="64"/>
      <c r="W26" s="64"/>
      <c r="X26" s="64"/>
      <c r="Y26" s="64"/>
    </row>
    <row r="27" spans="2:25">
      <c r="D27" s="3"/>
      <c r="S27" s="63"/>
      <c r="T27" s="84"/>
      <c r="U27" s="64"/>
      <c r="V27" s="64"/>
      <c r="W27" s="64"/>
      <c r="X27" s="64"/>
      <c r="Y27" s="64"/>
    </row>
    <row r="28" spans="2:25">
      <c r="B28"/>
      <c r="C28" s="61"/>
      <c r="D28"/>
      <c r="E28" s="3"/>
      <c r="F28" s="3"/>
      <c r="S28" s="63"/>
      <c r="T28" s="84"/>
      <c r="U28" s="64"/>
      <c r="V28" s="64"/>
      <c r="W28" s="64"/>
      <c r="X28" s="64"/>
      <c r="Y28" s="64"/>
    </row>
    <row r="29" spans="2:25">
      <c r="B29" s="172" t="s">
        <v>9</v>
      </c>
      <c r="C29" s="173"/>
      <c r="D29"/>
      <c r="E29" s="3"/>
      <c r="F29" s="3"/>
      <c r="S29" s="63"/>
      <c r="T29" s="84"/>
      <c r="U29" s="64"/>
      <c r="V29" s="64"/>
      <c r="W29" s="64"/>
      <c r="X29" s="64"/>
      <c r="Y29" s="64"/>
    </row>
    <row r="30" spans="2:25">
      <c r="B30" s="137" t="s">
        <v>10</v>
      </c>
      <c r="C30" s="226">
        <v>-37200</v>
      </c>
      <c r="D30"/>
      <c r="E30"/>
      <c r="F30"/>
      <c r="J30" s="71"/>
      <c r="L30" s="70" t="s">
        <v>82</v>
      </c>
    </row>
    <row r="31" spans="2:25">
      <c r="B31" s="137" t="s">
        <v>129</v>
      </c>
      <c r="C31" s="226">
        <v>-15000</v>
      </c>
      <c r="D31"/>
      <c r="E31"/>
      <c r="F31"/>
      <c r="J31" s="71"/>
    </row>
    <row r="32" spans="2:25">
      <c r="B32" s="214" t="s">
        <v>12</v>
      </c>
      <c r="C32" s="226">
        <v>-9950</v>
      </c>
      <c r="D32"/>
      <c r="E32"/>
      <c r="F32"/>
    </row>
    <row r="33" spans="2:8">
      <c r="B33" s="137" t="s">
        <v>134</v>
      </c>
      <c r="C33" s="226">
        <v>-10400</v>
      </c>
      <c r="D33"/>
      <c r="E33"/>
      <c r="F33"/>
    </row>
    <row r="34" spans="2:8">
      <c r="B34" s="137" t="s">
        <v>16</v>
      </c>
      <c r="C34" s="226">
        <v>-3500</v>
      </c>
      <c r="D34"/>
      <c r="E34"/>
      <c r="F34"/>
      <c r="H34" s="3"/>
    </row>
    <row r="35" spans="2:8">
      <c r="B35" s="137" t="s">
        <v>15</v>
      </c>
      <c r="C35" s="226">
        <v>-10000</v>
      </c>
      <c r="D35"/>
      <c r="E35"/>
      <c r="F35"/>
      <c r="H35" s="3"/>
    </row>
    <row r="36" spans="2:8">
      <c r="B36" s="137" t="s">
        <v>21</v>
      </c>
      <c r="C36" s="226">
        <v>-6185.5999999999767</v>
      </c>
      <c r="D36"/>
      <c r="E36"/>
      <c r="F36"/>
      <c r="H36" s="3"/>
    </row>
    <row r="37" spans="2:8">
      <c r="B37" s="214"/>
      <c r="C37" s="226"/>
      <c r="D37"/>
      <c r="E37"/>
      <c r="F37"/>
      <c r="H37" s="3"/>
    </row>
    <row r="38" spans="2:8">
      <c r="B38" s="235" t="s">
        <v>13</v>
      </c>
      <c r="C38" s="226">
        <v>24300</v>
      </c>
    </row>
    <row r="39" spans="2:8">
      <c r="B39" s="137" t="s">
        <v>19</v>
      </c>
      <c r="C39" s="226">
        <v>30000</v>
      </c>
    </row>
    <row r="40" spans="2:8">
      <c r="B40" s="137" t="s">
        <v>11</v>
      </c>
      <c r="C40" s="226">
        <v>6504</v>
      </c>
    </row>
    <row r="41" spans="2:8">
      <c r="B41" s="137" t="s">
        <v>17</v>
      </c>
      <c r="C41" s="226">
        <v>14710</v>
      </c>
    </row>
    <row r="42" spans="2:8">
      <c r="B42" s="137" t="s">
        <v>20</v>
      </c>
      <c r="C42" s="226">
        <v>30000</v>
      </c>
    </row>
    <row r="43" spans="2:8">
      <c r="B43" s="137" t="s">
        <v>135</v>
      </c>
      <c r="C43" s="226">
        <v>10000</v>
      </c>
    </row>
    <row r="44" spans="2:8">
      <c r="B44" s="137" t="s">
        <v>18</v>
      </c>
      <c r="C44" s="226">
        <v>25000</v>
      </c>
    </row>
    <row r="45" spans="2:8">
      <c r="B45" s="214"/>
      <c r="C45" s="234"/>
    </row>
    <row r="46" spans="2:8">
      <c r="B46" s="107" t="s">
        <v>165</v>
      </c>
      <c r="C46" s="138">
        <v>48278.400000000023</v>
      </c>
    </row>
  </sheetData>
  <phoneticPr fontId="6" type="noConversion"/>
  <pageMargins left="0.25" right="0.25" top="0.25" bottom="0.25" header="0.05" footer="0.3"/>
  <headerFooter alignWithMargins="0">
    <oddFooter>&amp;R u &amp;D &amp;T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51"/>
  <sheetViews>
    <sheetView topLeftCell="A25" workbookViewId="0">
      <selection activeCell="H32" sqref="H32"/>
    </sheetView>
  </sheetViews>
  <sheetFormatPr baseColWidth="10" defaultColWidth="8.7109375" defaultRowHeight="13"/>
  <cols>
    <col min="1" max="1" width="14.5703125" customWidth="1"/>
    <col min="2" max="2" width="11.85546875" bestFit="1" customWidth="1"/>
    <col min="3" max="3" width="18" customWidth="1"/>
    <col min="4" max="4" width="9.85546875" customWidth="1"/>
    <col min="5" max="5" width="12.140625" customWidth="1"/>
    <col min="6" max="6" width="14.140625" bestFit="1" customWidth="1"/>
    <col min="7" max="7" width="9.85546875" customWidth="1"/>
  </cols>
  <sheetData>
    <row r="1" spans="3:19" ht="16">
      <c r="C1" s="247" t="s">
        <v>37</v>
      </c>
    </row>
    <row r="9" spans="3:19">
      <c r="R9" s="240" t="s">
        <v>35</v>
      </c>
      <c r="S9" s="241"/>
    </row>
    <row r="10" spans="3:19">
      <c r="R10" s="240" t="s">
        <v>26</v>
      </c>
      <c r="S10" s="241" t="s">
        <v>165</v>
      </c>
    </row>
    <row r="11" spans="3:19">
      <c r="R11" s="239" t="s">
        <v>181</v>
      </c>
      <c r="S11" s="244">
        <v>43500</v>
      </c>
    </row>
    <row r="12" spans="3:19">
      <c r="R12" s="243" t="s">
        <v>28</v>
      </c>
      <c r="S12" s="245">
        <v>38000</v>
      </c>
    </row>
    <row r="13" spans="3:19">
      <c r="R13" s="243" t="s">
        <v>27</v>
      </c>
      <c r="S13" s="245">
        <v>627170</v>
      </c>
    </row>
    <row r="14" spans="3:19">
      <c r="R14" s="243" t="s">
        <v>30</v>
      </c>
      <c r="S14" s="245">
        <v>152336</v>
      </c>
    </row>
    <row r="15" spans="3:19">
      <c r="R15" s="243" t="s">
        <v>29</v>
      </c>
      <c r="S15" s="245">
        <v>59500</v>
      </c>
    </row>
    <row r="16" spans="3:19">
      <c r="R16" s="242" t="s">
        <v>34</v>
      </c>
      <c r="S16" s="246">
        <v>920506</v>
      </c>
    </row>
    <row r="18" spans="3:19">
      <c r="R18" s="240" t="s">
        <v>35</v>
      </c>
      <c r="S18" s="241"/>
    </row>
    <row r="19" spans="3:19">
      <c r="R19" s="239"/>
      <c r="S19" s="241" t="s">
        <v>165</v>
      </c>
    </row>
    <row r="20" spans="3:19" ht="16">
      <c r="C20" s="247" t="s">
        <v>38</v>
      </c>
      <c r="R20" s="239" t="s">
        <v>31</v>
      </c>
      <c r="S20" s="244">
        <v>157565.95250000001</v>
      </c>
    </row>
    <row r="21" spans="3:19">
      <c r="R21" s="243" t="s">
        <v>33</v>
      </c>
      <c r="S21" s="245">
        <v>173317.6</v>
      </c>
    </row>
    <row r="22" spans="3:19">
      <c r="R22" s="243" t="s">
        <v>215</v>
      </c>
      <c r="S22" s="245">
        <v>42369</v>
      </c>
    </row>
    <row r="23" spans="3:19">
      <c r="R23" s="243" t="s">
        <v>25</v>
      </c>
      <c r="S23" s="245">
        <v>107491.851</v>
      </c>
    </row>
    <row r="24" spans="3:19">
      <c r="R24" s="243" t="s">
        <v>32</v>
      </c>
      <c r="S24" s="245">
        <v>98674.524999999994</v>
      </c>
    </row>
    <row r="25" spans="3:19">
      <c r="R25" s="243" t="s">
        <v>24</v>
      </c>
      <c r="S25" s="245">
        <v>80814.712499999994</v>
      </c>
    </row>
    <row r="26" spans="3:19">
      <c r="R26" s="243" t="s">
        <v>23</v>
      </c>
      <c r="S26" s="245">
        <v>175857.14327999999</v>
      </c>
    </row>
    <row r="27" spans="3:19">
      <c r="R27" s="242" t="s">
        <v>34</v>
      </c>
      <c r="S27" s="246">
        <v>836090.78428000002</v>
      </c>
    </row>
    <row r="41" spans="1:7">
      <c r="A41" s="67" t="s">
        <v>36</v>
      </c>
    </row>
    <row r="43" spans="1:7" ht="15">
      <c r="A43" s="231" t="s">
        <v>7</v>
      </c>
      <c r="B43" s="279" t="s">
        <v>5</v>
      </c>
      <c r="C43" s="279"/>
      <c r="D43" s="280"/>
      <c r="E43" s="232" t="s">
        <v>198</v>
      </c>
      <c r="F43" s="233" t="s">
        <v>6</v>
      </c>
    </row>
    <row r="44" spans="1:7">
      <c r="A44" s="219"/>
      <c r="B44" s="220" t="s">
        <v>178</v>
      </c>
      <c r="C44" s="220" t="s">
        <v>219</v>
      </c>
      <c r="D44" s="221" t="s">
        <v>165</v>
      </c>
      <c r="E44" s="222"/>
      <c r="F44" s="222"/>
    </row>
    <row r="45" spans="1:7">
      <c r="A45" s="223" t="s">
        <v>8</v>
      </c>
      <c r="B45" s="225">
        <v>906033</v>
      </c>
      <c r="C45" s="225">
        <v>916778</v>
      </c>
      <c r="D45" s="226">
        <f t="shared" ref="D45:D50" si="0">B45-C45</f>
        <v>-10745</v>
      </c>
      <c r="E45" s="227"/>
      <c r="F45" s="227"/>
    </row>
    <row r="46" spans="1:7">
      <c r="A46" s="223" t="s">
        <v>88</v>
      </c>
      <c r="B46" s="225">
        <v>922704.63</v>
      </c>
      <c r="C46" s="225">
        <v>832990.69</v>
      </c>
      <c r="D46" s="226">
        <f t="shared" si="0"/>
        <v>89713.940000000061</v>
      </c>
      <c r="E46" s="227">
        <v>-76979.05</v>
      </c>
      <c r="F46" s="227">
        <v>12734.890000000014</v>
      </c>
      <c r="G46" s="218"/>
    </row>
    <row r="47" spans="1:7">
      <c r="A47" s="223" t="s">
        <v>81</v>
      </c>
      <c r="B47" s="225">
        <v>877827.08</v>
      </c>
      <c r="C47" s="225">
        <v>836967</v>
      </c>
      <c r="D47" s="226">
        <f t="shared" si="0"/>
        <v>40860.079999999958</v>
      </c>
      <c r="E47" s="227">
        <v>-43135</v>
      </c>
      <c r="F47" s="227">
        <v>-2274</v>
      </c>
      <c r="G47" s="218"/>
    </row>
    <row r="48" spans="1:7">
      <c r="A48" s="223" t="s">
        <v>200</v>
      </c>
      <c r="B48" s="225">
        <v>885108.56</v>
      </c>
      <c r="C48" s="225">
        <v>868120.73</v>
      </c>
      <c r="D48" s="226">
        <f t="shared" si="0"/>
        <v>16987.830000000075</v>
      </c>
      <c r="E48" s="227">
        <v>-38976.83000000006</v>
      </c>
      <c r="F48" s="227">
        <v>-21989</v>
      </c>
      <c r="G48" s="218"/>
    </row>
    <row r="49" spans="1:7">
      <c r="A49" s="223" t="s">
        <v>201</v>
      </c>
      <c r="B49" s="225">
        <v>880581</v>
      </c>
      <c r="C49" s="225">
        <v>851841</v>
      </c>
      <c r="D49" s="226">
        <f t="shared" si="0"/>
        <v>28740</v>
      </c>
      <c r="E49" s="227">
        <v>-32940</v>
      </c>
      <c r="F49" s="227">
        <v>-4200</v>
      </c>
      <c r="G49" s="218"/>
    </row>
    <row r="50" spans="1:7">
      <c r="A50" s="224" t="s">
        <v>202</v>
      </c>
      <c r="B50" s="228">
        <v>850786</v>
      </c>
      <c r="C50" s="228">
        <v>1003077</v>
      </c>
      <c r="D50" s="229">
        <f t="shared" si="0"/>
        <v>-152291</v>
      </c>
      <c r="E50" s="230">
        <v>-22845</v>
      </c>
      <c r="F50" s="230">
        <v>-175136</v>
      </c>
      <c r="G50" s="218"/>
    </row>
    <row r="51" spans="1:7">
      <c r="A51" t="s">
        <v>70</v>
      </c>
    </row>
  </sheetData>
  <sheetCalcPr fullCalcOnLoad="1"/>
  <mergeCells count="1">
    <mergeCell ref="B43:D43"/>
  </mergeCells>
  <pageMargins left="0.25" right="0.25" top="0.75" bottom="0.75" header="0.3" footer="0.3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0"/>
  <sheetViews>
    <sheetView workbookViewId="0">
      <selection activeCell="C25" sqref="C25"/>
    </sheetView>
  </sheetViews>
  <sheetFormatPr baseColWidth="10" defaultColWidth="8.7109375" defaultRowHeight="13"/>
  <cols>
    <col min="1" max="1" width="18.42578125" customWidth="1"/>
    <col min="2" max="2" width="22.7109375" bestFit="1" customWidth="1"/>
    <col min="3" max="6" width="11.7109375" customWidth="1"/>
  </cols>
  <sheetData>
    <row r="1" spans="1:6" ht="18">
      <c r="B1" s="268" t="s">
        <v>68</v>
      </c>
    </row>
    <row r="2" spans="1:6">
      <c r="B2" s="52"/>
    </row>
    <row r="3" spans="1:6">
      <c r="E3" s="281" t="s">
        <v>64</v>
      </c>
      <c r="F3" s="281"/>
    </row>
    <row r="4" spans="1:6">
      <c r="E4" s="248" t="s">
        <v>65</v>
      </c>
      <c r="F4" s="248" t="s">
        <v>66</v>
      </c>
    </row>
    <row r="5" spans="1:6" ht="14" thickBot="1">
      <c r="A5" s="253" t="s">
        <v>26</v>
      </c>
      <c r="B5" s="254"/>
      <c r="C5" s="255">
        <v>39628</v>
      </c>
      <c r="D5" s="255">
        <v>39993</v>
      </c>
      <c r="E5" s="255">
        <v>40297</v>
      </c>
      <c r="F5" s="256">
        <v>40297</v>
      </c>
    </row>
    <row r="6" spans="1:6" ht="14" thickTop="1">
      <c r="A6" s="267" t="s">
        <v>52</v>
      </c>
      <c r="B6" s="264"/>
      <c r="C6" s="265"/>
      <c r="D6" s="265"/>
      <c r="E6" s="265"/>
      <c r="F6" s="266"/>
    </row>
    <row r="7" spans="1:6">
      <c r="A7" s="262" t="s">
        <v>51</v>
      </c>
      <c r="B7" s="249" t="s">
        <v>50</v>
      </c>
      <c r="C7" s="250">
        <v>450441.65</v>
      </c>
      <c r="D7" s="250">
        <v>209114.08</v>
      </c>
      <c r="E7" s="250">
        <v>239700.71</v>
      </c>
      <c r="F7" s="250">
        <v>239700.71</v>
      </c>
    </row>
    <row r="8" spans="1:6">
      <c r="A8" s="263"/>
      <c r="B8" s="251" t="s">
        <v>49</v>
      </c>
      <c r="C8" s="252">
        <v>790000</v>
      </c>
      <c r="D8" s="252">
        <v>815000</v>
      </c>
      <c r="E8" s="252"/>
      <c r="F8" s="252"/>
    </row>
    <row r="9" spans="1:6">
      <c r="A9" s="263"/>
      <c r="B9" s="249" t="s">
        <v>48</v>
      </c>
      <c r="C9" s="250">
        <v>3760.77</v>
      </c>
      <c r="D9" s="250">
        <v>1000</v>
      </c>
      <c r="E9" s="250"/>
      <c r="F9" s="250"/>
    </row>
    <row r="10" spans="1:6">
      <c r="A10" s="263"/>
      <c r="B10" s="258" t="s">
        <v>165</v>
      </c>
      <c r="C10" s="259">
        <f>SUM(C7:C9)</f>
        <v>1244202.42</v>
      </c>
      <c r="D10" s="259">
        <f t="shared" ref="D10:F10" si="0">SUM(D7:D9)</f>
        <v>1025114.08</v>
      </c>
      <c r="E10" s="259">
        <f t="shared" si="0"/>
        <v>239700.71</v>
      </c>
      <c r="F10" s="259">
        <f t="shared" si="0"/>
        <v>239700.71</v>
      </c>
    </row>
    <row r="11" spans="1:6">
      <c r="A11" s="263"/>
      <c r="B11" s="249"/>
      <c r="C11" s="250"/>
      <c r="D11" s="250"/>
      <c r="E11" s="250"/>
      <c r="F11" s="250"/>
    </row>
    <row r="12" spans="1:6">
      <c r="A12" s="262" t="s">
        <v>47</v>
      </c>
      <c r="B12" s="249" t="s">
        <v>46</v>
      </c>
      <c r="C12" s="250">
        <v>582750</v>
      </c>
      <c r="D12" s="250">
        <v>582750</v>
      </c>
      <c r="E12" s="250">
        <v>582750</v>
      </c>
      <c r="F12" s="250"/>
    </row>
    <row r="13" spans="1:6">
      <c r="A13" s="263"/>
      <c r="B13" s="251" t="s">
        <v>45</v>
      </c>
      <c r="C13" s="252">
        <v>1092250</v>
      </c>
      <c r="D13" s="252">
        <v>792250</v>
      </c>
      <c r="E13" s="252"/>
      <c r="F13" s="252"/>
    </row>
    <row r="14" spans="1:6">
      <c r="A14" s="263"/>
      <c r="B14" s="249" t="s">
        <v>53</v>
      </c>
      <c r="C14" s="250"/>
      <c r="D14" s="250"/>
      <c r="E14" s="250">
        <v>20000</v>
      </c>
      <c r="F14" s="250"/>
    </row>
    <row r="15" spans="1:6">
      <c r="A15" s="263"/>
      <c r="B15" s="251" t="s">
        <v>54</v>
      </c>
      <c r="C15" s="252"/>
      <c r="D15" s="252"/>
      <c r="E15" s="252">
        <v>150000</v>
      </c>
      <c r="F15" s="252">
        <v>150000</v>
      </c>
    </row>
    <row r="16" spans="1:6">
      <c r="A16" s="263"/>
      <c r="B16" s="249" t="s">
        <v>67</v>
      </c>
      <c r="C16" s="250">
        <v>172781.97</v>
      </c>
      <c r="D16" s="250">
        <v>157702.41</v>
      </c>
      <c r="E16" s="250">
        <v>127382.98999999999</v>
      </c>
      <c r="F16" s="250">
        <f>E16</f>
        <v>127382.98999999999</v>
      </c>
    </row>
    <row r="17" spans="1:6">
      <c r="A17" s="263"/>
      <c r="B17" s="258" t="s">
        <v>165</v>
      </c>
      <c r="C17" s="259">
        <f>SUM(C12:C16)</f>
        <v>1847781.97</v>
      </c>
      <c r="D17" s="259">
        <f>SUM(D12:D16)</f>
        <v>1532702.41</v>
      </c>
      <c r="E17" s="259">
        <f>SUM(E12:E16)</f>
        <v>880132.99</v>
      </c>
      <c r="F17" s="259">
        <f>SUM(F12:F16)</f>
        <v>277382.99</v>
      </c>
    </row>
    <row r="18" spans="1:6">
      <c r="A18" s="263"/>
      <c r="B18" s="249"/>
      <c r="C18" s="250"/>
      <c r="D18" s="250"/>
      <c r="E18" s="250"/>
      <c r="F18" s="250"/>
    </row>
    <row r="19" spans="1:6">
      <c r="A19" s="262" t="s">
        <v>44</v>
      </c>
      <c r="B19" s="249" t="s">
        <v>43</v>
      </c>
      <c r="C19" s="250">
        <v>35000</v>
      </c>
      <c r="D19" s="250">
        <v>35000</v>
      </c>
      <c r="E19" s="250">
        <v>35000</v>
      </c>
      <c r="F19" s="250"/>
    </row>
    <row r="20" spans="1:6">
      <c r="A20" s="249"/>
      <c r="B20" s="251" t="s">
        <v>42</v>
      </c>
      <c r="C20" s="252">
        <v>125545.33</v>
      </c>
      <c r="D20" s="252">
        <v>142215.32999999999</v>
      </c>
      <c r="E20" s="252">
        <v>157879.32999999999</v>
      </c>
      <c r="F20" s="252"/>
    </row>
    <row r="21" spans="1:6">
      <c r="A21" s="249"/>
      <c r="B21" s="249" t="s">
        <v>41</v>
      </c>
      <c r="C21" s="250">
        <v>-772469.95</v>
      </c>
      <c r="D21" s="250">
        <v>-790604.76</v>
      </c>
      <c r="E21" s="250">
        <v>-790604.76</v>
      </c>
      <c r="F21" s="250"/>
    </row>
    <row r="22" spans="1:6">
      <c r="A22" s="249"/>
      <c r="B22" s="251" t="s">
        <v>40</v>
      </c>
      <c r="C22" s="252">
        <v>9345.07</v>
      </c>
      <c r="D22" s="252">
        <v>87571.94</v>
      </c>
      <c r="E22" s="252">
        <v>-42706.85</v>
      </c>
      <c r="F22" s="252">
        <v>-37682</v>
      </c>
    </row>
    <row r="23" spans="1:6" ht="14" thickBot="1">
      <c r="A23" s="253"/>
      <c r="B23" s="260" t="s">
        <v>165</v>
      </c>
      <c r="C23" s="261">
        <f>SUM(C19:C22)</f>
        <v>-602579.54999999993</v>
      </c>
      <c r="D23" s="261">
        <f t="shared" ref="D23:F23" si="1">SUM(D19:D22)</f>
        <v>-525817.49</v>
      </c>
      <c r="E23" s="261">
        <f t="shared" si="1"/>
        <v>-640432.28</v>
      </c>
      <c r="F23" s="261">
        <f t="shared" si="1"/>
        <v>-37682</v>
      </c>
    </row>
    <row r="24" spans="1:6" ht="14" thickTop="1">
      <c r="A24" s="267" t="s">
        <v>55</v>
      </c>
      <c r="B24" s="249"/>
      <c r="C24" s="250"/>
      <c r="D24" s="250"/>
      <c r="E24" s="250"/>
      <c r="F24" s="250"/>
    </row>
    <row r="25" spans="1:6">
      <c r="A25" s="262" t="s">
        <v>51</v>
      </c>
      <c r="B25" s="249" t="s">
        <v>56</v>
      </c>
      <c r="C25" s="250"/>
      <c r="D25" s="250"/>
      <c r="E25" s="250">
        <v>1396639</v>
      </c>
      <c r="F25" s="250">
        <v>1396639</v>
      </c>
    </row>
    <row r="26" spans="1:6">
      <c r="A26" s="249"/>
      <c r="B26" s="251" t="s">
        <v>57</v>
      </c>
      <c r="C26" s="252"/>
      <c r="D26" s="252"/>
      <c r="E26" s="252">
        <v>545427</v>
      </c>
      <c r="F26" s="252">
        <v>545427</v>
      </c>
    </row>
    <row r="27" spans="1:6">
      <c r="A27" s="249"/>
      <c r="B27" s="249" t="s">
        <v>58</v>
      </c>
      <c r="C27" s="250"/>
      <c r="D27" s="250"/>
      <c r="E27" s="250">
        <v>292563</v>
      </c>
      <c r="F27" s="250">
        <v>292563</v>
      </c>
    </row>
    <row r="28" spans="1:6">
      <c r="A28" s="249"/>
      <c r="B28" s="251" t="s">
        <v>59</v>
      </c>
      <c r="C28" s="252"/>
      <c r="D28" s="252"/>
      <c r="E28" s="252">
        <v>170419</v>
      </c>
      <c r="F28" s="252">
        <v>170419</v>
      </c>
    </row>
    <row r="29" spans="1:6">
      <c r="A29" s="249"/>
      <c r="B29" s="249" t="s">
        <v>60</v>
      </c>
      <c r="C29" s="250"/>
      <c r="D29" s="250"/>
      <c r="E29" s="250">
        <v>582750</v>
      </c>
      <c r="F29" s="250"/>
    </row>
    <row r="30" spans="1:6">
      <c r="A30" s="249"/>
      <c r="B30" s="258" t="s">
        <v>165</v>
      </c>
      <c r="C30" s="259"/>
      <c r="D30" s="259"/>
      <c r="E30" s="269">
        <f>SUM(E25:E29)</f>
        <v>2987798</v>
      </c>
      <c r="F30" s="269">
        <f>SUM(F25:F29)</f>
        <v>2405048</v>
      </c>
    </row>
    <row r="31" spans="1:6">
      <c r="A31" s="249"/>
      <c r="B31" s="249"/>
      <c r="C31" s="250"/>
      <c r="D31" s="250"/>
      <c r="E31" s="250"/>
      <c r="F31" s="250"/>
    </row>
    <row r="32" spans="1:6">
      <c r="A32" s="262" t="s">
        <v>44</v>
      </c>
      <c r="B32" s="258" t="s">
        <v>69</v>
      </c>
      <c r="C32" s="259"/>
      <c r="D32" s="259"/>
      <c r="E32" s="269">
        <v>2987798</v>
      </c>
      <c r="F32" s="269">
        <v>2405048</v>
      </c>
    </row>
    <row r="33" spans="1:6" ht="14" thickBot="1">
      <c r="A33" s="253"/>
      <c r="B33" s="253"/>
      <c r="C33" s="257"/>
      <c r="D33" s="257"/>
      <c r="E33" s="257"/>
      <c r="F33" s="257"/>
    </row>
    <row r="34" spans="1:6" ht="14" thickTop="1">
      <c r="A34" s="267" t="s">
        <v>39</v>
      </c>
      <c r="B34" s="249"/>
      <c r="C34" s="250"/>
      <c r="D34" s="250"/>
      <c r="E34" s="250"/>
      <c r="F34" s="250"/>
    </row>
    <row r="35" spans="1:6">
      <c r="A35" s="262" t="s">
        <v>51</v>
      </c>
      <c r="B35" s="249" t="s">
        <v>5</v>
      </c>
      <c r="C35" s="250"/>
      <c r="D35" s="250"/>
      <c r="E35" s="250">
        <v>239700.71</v>
      </c>
      <c r="F35" s="250">
        <v>239700.71</v>
      </c>
    </row>
    <row r="36" spans="1:6">
      <c r="A36" s="249"/>
      <c r="B36" s="251" t="s">
        <v>61</v>
      </c>
      <c r="C36" s="252"/>
      <c r="D36" s="252"/>
      <c r="E36" s="252">
        <v>2987798</v>
      </c>
      <c r="F36" s="252">
        <v>2405048</v>
      </c>
    </row>
    <row r="37" spans="1:6">
      <c r="A37" s="249"/>
      <c r="B37" s="249" t="s">
        <v>62</v>
      </c>
      <c r="C37" s="250">
        <v>3000000</v>
      </c>
      <c r="D37" s="250">
        <v>3000000</v>
      </c>
      <c r="E37" s="250">
        <v>3000000</v>
      </c>
      <c r="F37" s="250">
        <v>3000000</v>
      </c>
    </row>
    <row r="38" spans="1:6">
      <c r="A38" s="249"/>
      <c r="B38" s="258" t="s">
        <v>165</v>
      </c>
      <c r="C38" s="259"/>
      <c r="D38" s="259"/>
      <c r="E38" s="269">
        <f>SUM(E35:E37)</f>
        <v>6227498.71</v>
      </c>
      <c r="F38" s="269">
        <f>SUM(F35:F37)</f>
        <v>5644748.71</v>
      </c>
    </row>
    <row r="39" spans="1:6">
      <c r="A39" s="249"/>
      <c r="B39" s="249"/>
      <c r="C39" s="250"/>
      <c r="D39" s="250"/>
      <c r="E39" s="250"/>
      <c r="F39" s="250"/>
    </row>
    <row r="40" spans="1:6">
      <c r="A40" s="262" t="s">
        <v>47</v>
      </c>
      <c r="B40" s="249" t="s">
        <v>5</v>
      </c>
      <c r="C40" s="250"/>
      <c r="D40" s="250"/>
      <c r="E40" s="250">
        <f>E16</f>
        <v>127382.98999999999</v>
      </c>
      <c r="F40" s="250">
        <f>F16</f>
        <v>127382.98999999999</v>
      </c>
    </row>
    <row r="41" spans="1:6">
      <c r="A41" s="249"/>
      <c r="B41" s="258" t="s">
        <v>165</v>
      </c>
      <c r="C41" s="259"/>
      <c r="D41" s="259"/>
      <c r="E41" s="269">
        <f>E17</f>
        <v>880132.99</v>
      </c>
      <c r="F41" s="269">
        <f>F17</f>
        <v>277382.99</v>
      </c>
    </row>
    <row r="42" spans="1:6">
      <c r="A42" s="249"/>
      <c r="B42" s="249"/>
      <c r="C42" s="250"/>
      <c r="D42" s="250"/>
      <c r="E42" s="250"/>
      <c r="F42" s="250"/>
    </row>
    <row r="43" spans="1:6">
      <c r="A43" s="262" t="s">
        <v>44</v>
      </c>
      <c r="B43" s="249" t="s">
        <v>5</v>
      </c>
      <c r="C43" s="250"/>
      <c r="D43" s="250"/>
      <c r="E43" s="250">
        <f>E23</f>
        <v>-640432.28</v>
      </c>
      <c r="F43" s="250">
        <f>F23</f>
        <v>-37682</v>
      </c>
    </row>
    <row r="44" spans="1:6">
      <c r="A44" s="249"/>
      <c r="B44" s="251" t="s">
        <v>61</v>
      </c>
      <c r="C44" s="252"/>
      <c r="D44" s="252"/>
      <c r="E44" s="252">
        <f>E32</f>
        <v>2987798</v>
      </c>
      <c r="F44" s="252">
        <f>F32</f>
        <v>2405048</v>
      </c>
    </row>
    <row r="45" spans="1:6">
      <c r="A45" s="249"/>
      <c r="B45" s="249" t="s">
        <v>62</v>
      </c>
      <c r="C45" s="250">
        <f>C37</f>
        <v>3000000</v>
      </c>
      <c r="D45" s="250">
        <f>D37</f>
        <v>3000000</v>
      </c>
      <c r="E45" s="250">
        <f>E37</f>
        <v>3000000</v>
      </c>
      <c r="F45" s="250">
        <f>F37</f>
        <v>3000000</v>
      </c>
    </row>
    <row r="46" spans="1:6">
      <c r="A46" s="249"/>
      <c r="B46" s="258" t="s">
        <v>165</v>
      </c>
      <c r="C46" s="259"/>
      <c r="D46" s="259"/>
      <c r="E46" s="269">
        <f>SUM(E43:E45)</f>
        <v>5347365.72</v>
      </c>
      <c r="F46" s="269">
        <f>SUM(F43:F45)</f>
        <v>5367366</v>
      </c>
    </row>
    <row r="47" spans="1:6">
      <c r="A47" s="249"/>
      <c r="B47" s="249"/>
      <c r="C47" s="250"/>
      <c r="D47" s="250"/>
      <c r="E47" s="250"/>
      <c r="F47" s="250"/>
    </row>
    <row r="48" spans="1:6">
      <c r="A48" s="249"/>
      <c r="B48" s="258" t="s">
        <v>63</v>
      </c>
      <c r="C48" s="259"/>
      <c r="D48" s="259"/>
      <c r="E48" s="269">
        <f>E41+E46</f>
        <v>6227498.71</v>
      </c>
      <c r="F48" s="269">
        <f>F41+F46</f>
        <v>5644748.9900000002</v>
      </c>
    </row>
    <row r="49" spans="1:6" ht="14" thickBot="1">
      <c r="A49" s="253"/>
      <c r="B49" s="253"/>
      <c r="C49" s="257"/>
      <c r="D49" s="257"/>
      <c r="E49" s="257"/>
      <c r="F49" s="257"/>
    </row>
    <row r="50" spans="1:6" ht="14" thickTop="1"/>
  </sheetData>
  <sheetCalcPr fullCalcOnLoad="1"/>
  <mergeCells count="1">
    <mergeCell ref="E3:F3"/>
  </mergeCells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45"/>
  <sheetViews>
    <sheetView zoomScale="15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baseColWidth="10" defaultColWidth="11" defaultRowHeight="12"/>
  <cols>
    <col min="1" max="1" width="6.140625" style="123" customWidth="1"/>
    <col min="2" max="2" width="7.140625" style="123" customWidth="1"/>
    <col min="3" max="3" width="11.42578125" style="123" customWidth="1"/>
    <col min="4" max="4" width="7.42578125" style="123" customWidth="1"/>
    <col min="5" max="5" width="9.85546875" style="126" customWidth="1"/>
    <col min="6" max="6" width="9.42578125" style="126" customWidth="1"/>
    <col min="7" max="7" width="8" style="126" customWidth="1"/>
    <col min="8" max="16384" width="11" style="123"/>
  </cols>
  <sheetData>
    <row r="1" spans="1:7">
      <c r="B1" s="124" t="s">
        <v>85</v>
      </c>
      <c r="C1" s="125"/>
      <c r="D1" s="69"/>
      <c r="E1" s="69">
        <v>2014</v>
      </c>
      <c r="F1" s="69">
        <v>2015</v>
      </c>
      <c r="G1" s="142" t="s">
        <v>86</v>
      </c>
    </row>
    <row r="2" spans="1:7" ht="13" thickBot="1">
      <c r="B2" s="124" t="s">
        <v>261</v>
      </c>
      <c r="C2" s="157" t="s">
        <v>1</v>
      </c>
      <c r="D2" s="96" t="s">
        <v>89</v>
      </c>
      <c r="E2" s="96" t="s">
        <v>243</v>
      </c>
      <c r="F2" s="96" t="s">
        <v>243</v>
      </c>
      <c r="G2" s="68" t="s">
        <v>87</v>
      </c>
    </row>
    <row r="3" spans="1:7" ht="13">
      <c r="A3" s="124">
        <v>4009</v>
      </c>
      <c r="B3" s="8" t="s">
        <v>192</v>
      </c>
      <c r="C3" s="6"/>
      <c r="D3" s="6"/>
      <c r="E3" s="108">
        <v>674370</v>
      </c>
      <c r="F3" s="108">
        <v>637170</v>
      </c>
      <c r="G3" s="17">
        <v>-37200</v>
      </c>
    </row>
    <row r="4" spans="1:7">
      <c r="B4" s="5" t="s">
        <v>340</v>
      </c>
      <c r="C4" s="6"/>
      <c r="D4" s="5"/>
      <c r="E4" s="17"/>
      <c r="F4" s="17"/>
      <c r="G4" s="17"/>
    </row>
    <row r="5" spans="1:7">
      <c r="A5" s="5" t="s">
        <v>334</v>
      </c>
      <c r="B5" s="6"/>
      <c r="C5" s="6"/>
      <c r="D5" s="6"/>
      <c r="E5" s="18">
        <v>38000</v>
      </c>
      <c r="F5" s="18">
        <v>38000</v>
      </c>
      <c r="G5" s="17">
        <v>0</v>
      </c>
    </row>
    <row r="6" spans="1:7">
      <c r="A6" s="5"/>
      <c r="B6" s="6"/>
      <c r="C6" s="6"/>
      <c r="D6" s="6"/>
      <c r="E6" s="18"/>
      <c r="F6" s="18"/>
      <c r="G6" s="17"/>
    </row>
    <row r="7" spans="1:7">
      <c r="A7" s="9" t="s">
        <v>335</v>
      </c>
      <c r="B7" s="5"/>
      <c r="C7" s="5"/>
      <c r="D7" s="5"/>
      <c r="E7" s="114">
        <v>1400</v>
      </c>
      <c r="F7" s="114">
        <v>1400</v>
      </c>
      <c r="G7" s="17">
        <v>0</v>
      </c>
    </row>
    <row r="8" spans="1:7">
      <c r="B8" s="5"/>
      <c r="C8" s="6"/>
      <c r="D8" s="6"/>
      <c r="E8" s="94"/>
      <c r="F8" s="94"/>
      <c r="G8" s="17"/>
    </row>
    <row r="9" spans="1:7">
      <c r="A9" s="5" t="s">
        <v>301</v>
      </c>
      <c r="B9" s="6"/>
      <c r="C9" s="6"/>
      <c r="D9" s="6"/>
      <c r="E9" s="18">
        <v>13500</v>
      </c>
      <c r="F9" s="18">
        <v>43500</v>
      </c>
      <c r="G9" s="17">
        <v>30000</v>
      </c>
    </row>
    <row r="10" spans="1:7">
      <c r="B10" s="9"/>
      <c r="C10" s="6"/>
      <c r="D10" s="6"/>
      <c r="E10" s="17"/>
      <c r="F10" s="17"/>
      <c r="G10" s="17"/>
    </row>
    <row r="11" spans="1:7">
      <c r="A11" s="9" t="s">
        <v>199</v>
      </c>
      <c r="B11" s="6"/>
      <c r="C11" s="6"/>
      <c r="D11" s="6"/>
      <c r="E11" s="18">
        <v>132336</v>
      </c>
      <c r="F11" s="18">
        <v>157336</v>
      </c>
      <c r="G11" s="17">
        <v>25000</v>
      </c>
    </row>
    <row r="12" spans="1:7">
      <c r="B12" s="5"/>
      <c r="C12" s="6"/>
      <c r="D12" s="6"/>
      <c r="E12" s="17"/>
      <c r="F12" s="17"/>
      <c r="G12" s="17"/>
    </row>
    <row r="13" spans="1:7">
      <c r="A13" s="5" t="s">
        <v>320</v>
      </c>
      <c r="B13" s="6"/>
      <c r="C13" s="6"/>
      <c r="D13" s="6"/>
      <c r="E13" s="113">
        <v>46427</v>
      </c>
      <c r="F13" s="113">
        <v>73600</v>
      </c>
      <c r="G13" s="17">
        <v>27173</v>
      </c>
    </row>
    <row r="14" spans="1:7" ht="12" customHeight="1">
      <c r="A14" s="5"/>
      <c r="B14" s="6"/>
      <c r="C14"/>
      <c r="D14" s="12"/>
      <c r="E14" s="112"/>
      <c r="F14" s="112"/>
      <c r="G14" s="17"/>
    </row>
    <row r="15" spans="1:7">
      <c r="B15" s="162"/>
      <c r="D15" s="126"/>
      <c r="E15" s="6"/>
      <c r="F15" s="6"/>
    </row>
    <row r="16" spans="1:7" ht="12" customHeight="1">
      <c r="A16" s="6"/>
      <c r="B16" s="4"/>
      <c r="C16"/>
      <c r="D16" s="12"/>
      <c r="E16" s="170"/>
      <c r="F16" s="170"/>
      <c r="G16" s="18"/>
    </row>
    <row r="17" spans="1:7" ht="14" thickBot="1">
      <c r="A17" s="8" t="s">
        <v>328</v>
      </c>
      <c r="B17" s="13"/>
      <c r="C17" s="13"/>
      <c r="D17" s="276"/>
      <c r="E17" s="115">
        <v>906033</v>
      </c>
      <c r="F17" s="115">
        <v>951006</v>
      </c>
      <c r="G17" s="18">
        <v>44973</v>
      </c>
    </row>
    <row r="18" spans="1:7" ht="14" thickTop="1">
      <c r="A18" s="8"/>
      <c r="B18" s="13"/>
      <c r="C18" s="13"/>
      <c r="D18" s="13"/>
      <c r="E18" s="152"/>
      <c r="F18" s="152"/>
      <c r="G18" s="17"/>
    </row>
    <row r="19" spans="1:7" ht="12.75" customHeight="1">
      <c r="A19" s="8" t="s">
        <v>329</v>
      </c>
      <c r="B19" s="6"/>
      <c r="C19" s="6"/>
      <c r="D19" s="6"/>
      <c r="E19" s="17"/>
      <c r="F19" s="17"/>
      <c r="G19" s="17"/>
    </row>
    <row r="20" spans="1:7" ht="12.75" customHeight="1">
      <c r="A20" s="129" t="s">
        <v>321</v>
      </c>
      <c r="B20" s="5"/>
      <c r="C20" s="6"/>
      <c r="D20" s="6"/>
      <c r="E20" s="17"/>
      <c r="F20" s="17"/>
      <c r="G20" s="17"/>
    </row>
    <row r="21" spans="1:7" hidden="1">
      <c r="A21" s="11" t="s">
        <v>322</v>
      </c>
      <c r="D21" s="6"/>
      <c r="E21" s="116">
        <v>6874</v>
      </c>
      <c r="F21" s="116"/>
      <c r="G21" s="17">
        <v>-6874</v>
      </c>
    </row>
    <row r="22" spans="1:7" hidden="1">
      <c r="A22" s="11" t="s">
        <v>323</v>
      </c>
      <c r="D22" s="6"/>
      <c r="E22" s="116">
        <v>11052</v>
      </c>
      <c r="F22" s="116"/>
      <c r="G22" s="17">
        <v>-11052</v>
      </c>
    </row>
    <row r="23" spans="1:7" hidden="1">
      <c r="A23" s="11" t="s">
        <v>324</v>
      </c>
      <c r="D23" s="6"/>
      <c r="E23" s="116">
        <v>1167</v>
      </c>
      <c r="F23" s="116"/>
      <c r="G23" s="17">
        <v>-1167</v>
      </c>
    </row>
    <row r="24" spans="1:7" hidden="1">
      <c r="A24" s="11" t="s">
        <v>325</v>
      </c>
      <c r="D24" s="6"/>
      <c r="E24" s="116">
        <v>3667</v>
      </c>
      <c r="F24" s="116"/>
      <c r="G24" s="17">
        <v>-3667</v>
      </c>
    </row>
    <row r="25" spans="1:7" hidden="1">
      <c r="A25" s="11" t="s">
        <v>303</v>
      </c>
      <c r="D25" s="6"/>
      <c r="E25" s="117">
        <v>323</v>
      </c>
      <c r="F25" s="117"/>
      <c r="G25" s="17">
        <v>-323</v>
      </c>
    </row>
    <row r="26" spans="1:7" hidden="1">
      <c r="A26" s="11" t="s">
        <v>304</v>
      </c>
      <c r="D26" s="6"/>
      <c r="E26" s="114">
        <v>0</v>
      </c>
      <c r="F26" s="114"/>
      <c r="G26" s="17">
        <v>0</v>
      </c>
    </row>
    <row r="27" spans="1:7" hidden="1">
      <c r="A27" s="11" t="s">
        <v>305</v>
      </c>
      <c r="D27" s="6"/>
      <c r="E27" s="116">
        <v>207</v>
      </c>
      <c r="F27" s="116"/>
      <c r="G27" s="17">
        <v>-207</v>
      </c>
    </row>
    <row r="28" spans="1:7">
      <c r="A28" s="9" t="s">
        <v>306</v>
      </c>
      <c r="B28" s="10"/>
      <c r="C28" s="6"/>
      <c r="D28" s="6"/>
      <c r="E28" s="134">
        <v>23290</v>
      </c>
      <c r="F28" s="134">
        <v>0</v>
      </c>
      <c r="G28" s="17">
        <v>-23290</v>
      </c>
    </row>
    <row r="29" spans="1:7">
      <c r="A29" s="126"/>
      <c r="B29" s="9" t="s">
        <v>222</v>
      </c>
      <c r="D29" s="6"/>
      <c r="E29" s="17"/>
      <c r="F29" s="17"/>
      <c r="G29" s="17"/>
    </row>
    <row r="30" spans="1:7" ht="13" customHeight="1">
      <c r="A30" s="6" t="s">
        <v>307</v>
      </c>
      <c r="B30" s="126" t="s">
        <v>224</v>
      </c>
      <c r="C30" s="20"/>
      <c r="D30" s="6"/>
      <c r="E30" s="17">
        <v>69666</v>
      </c>
      <c r="F30" s="17">
        <v>69116.918000000005</v>
      </c>
      <c r="G30" s="17">
        <v>-549.08199999999488</v>
      </c>
    </row>
    <row r="31" spans="1:7" ht="13" customHeight="1">
      <c r="A31" s="6" t="s">
        <v>308</v>
      </c>
      <c r="B31" s="126"/>
      <c r="D31" s="6"/>
      <c r="E31" s="17">
        <v>49500</v>
      </c>
      <c r="F31" s="17">
        <v>50050.182000000001</v>
      </c>
      <c r="G31" s="17">
        <v>550.1820000000007</v>
      </c>
    </row>
    <row r="32" spans="1:7" ht="13" customHeight="1">
      <c r="A32" s="11" t="s">
        <v>309</v>
      </c>
      <c r="B32" s="126"/>
      <c r="D32" s="6"/>
      <c r="E32" s="17">
        <v>11917</v>
      </c>
      <c r="F32" s="17">
        <v>11916.71</v>
      </c>
      <c r="G32" s="17">
        <v>-0.29000000000087311</v>
      </c>
    </row>
    <row r="33" spans="1:7" ht="13" customHeight="1">
      <c r="A33" s="11"/>
      <c r="B33" s="6" t="s">
        <v>133</v>
      </c>
      <c r="D33" s="6"/>
      <c r="E33" s="17"/>
      <c r="F33" s="17">
        <v>8356.6232751105017</v>
      </c>
      <c r="G33" s="17">
        <v>8356.6232751105017</v>
      </c>
    </row>
    <row r="34" spans="1:7" ht="13" customHeight="1">
      <c r="A34" s="169">
        <v>5015.1000000000004</v>
      </c>
      <c r="B34" s="6" t="s">
        <v>91</v>
      </c>
      <c r="D34" s="6"/>
      <c r="E34" s="17">
        <v>13000</v>
      </c>
      <c r="F34" s="17">
        <v>0</v>
      </c>
      <c r="G34" s="17">
        <v>-13000</v>
      </c>
    </row>
    <row r="35" spans="1:7" ht="13" customHeight="1">
      <c r="A35" s="11" t="s">
        <v>310</v>
      </c>
      <c r="C35" s="6"/>
      <c r="D35" s="6"/>
      <c r="E35" s="17">
        <v>11917</v>
      </c>
      <c r="F35" s="17">
        <v>11916.710000000001</v>
      </c>
      <c r="G35" s="17">
        <v>-0.28999999999905413</v>
      </c>
    </row>
    <row r="36" spans="1:7" ht="13" customHeight="1">
      <c r="A36" s="14" t="s">
        <v>223</v>
      </c>
      <c r="B36" s="10"/>
      <c r="C36" s="6"/>
      <c r="D36" s="6"/>
      <c r="E36" s="18">
        <v>156000</v>
      </c>
      <c r="F36" s="18">
        <v>151357.14327999999</v>
      </c>
      <c r="G36" s="17">
        <v>-4642.8567200000107</v>
      </c>
    </row>
    <row r="37" spans="1:7">
      <c r="B37" s="9" t="s">
        <v>311</v>
      </c>
      <c r="D37" s="6"/>
      <c r="E37" s="17"/>
      <c r="F37" s="17"/>
      <c r="G37" s="17"/>
    </row>
    <row r="38" spans="1:7" ht="13" customHeight="1">
      <c r="A38" s="11" t="s">
        <v>312</v>
      </c>
      <c r="D38" s="6"/>
      <c r="E38" s="17">
        <v>53483</v>
      </c>
      <c r="F38" s="17">
        <v>53924.409999999989</v>
      </c>
      <c r="G38" s="17">
        <v>441.40999999998894</v>
      </c>
    </row>
    <row r="39" spans="1:7">
      <c r="A39" s="11" t="s">
        <v>313</v>
      </c>
      <c r="D39" s="6"/>
      <c r="E39" s="17">
        <v>35000</v>
      </c>
      <c r="F39" s="17">
        <v>35000</v>
      </c>
      <c r="G39" s="17">
        <v>0</v>
      </c>
    </row>
    <row r="40" spans="1:7">
      <c r="A40" s="11" t="s">
        <v>314</v>
      </c>
      <c r="D40" s="6"/>
      <c r="E40" s="17">
        <v>2133</v>
      </c>
      <c r="F40" s="17">
        <v>2775</v>
      </c>
      <c r="G40" s="17">
        <v>642</v>
      </c>
    </row>
    <row r="41" spans="1:7">
      <c r="A41" s="11" t="s">
        <v>315</v>
      </c>
      <c r="D41" s="6"/>
      <c r="E41" s="17">
        <v>8848</v>
      </c>
      <c r="F41" s="17">
        <v>8892.4409999999989</v>
      </c>
      <c r="G41" s="17">
        <v>44.440999999998894</v>
      </c>
    </row>
    <row r="42" spans="1:7">
      <c r="A42" s="9" t="s">
        <v>235</v>
      </c>
      <c r="B42" s="10"/>
      <c r="C42" s="10"/>
      <c r="D42" s="6"/>
      <c r="E42" s="118">
        <v>99464</v>
      </c>
      <c r="F42" s="118">
        <v>100591.851</v>
      </c>
      <c r="G42" s="17">
        <v>1127.8509999999951</v>
      </c>
    </row>
    <row r="43" spans="1:7">
      <c r="B43" s="9" t="s">
        <v>236</v>
      </c>
      <c r="D43" s="6"/>
      <c r="E43" s="94"/>
      <c r="F43" s="94"/>
      <c r="G43" s="17"/>
    </row>
    <row r="44" spans="1:7">
      <c r="A44" s="11" t="s">
        <v>282</v>
      </c>
      <c r="D44" s="6"/>
      <c r="E44" s="116">
        <v>56100</v>
      </c>
      <c r="F44" s="116">
        <v>56100</v>
      </c>
      <c r="G44" s="17">
        <v>0</v>
      </c>
    </row>
    <row r="45" spans="1:7">
      <c r="A45" s="6" t="s">
        <v>283</v>
      </c>
      <c r="D45" s="6"/>
      <c r="E45" s="116">
        <v>20155</v>
      </c>
      <c r="F45" s="116">
        <v>20255.774999999998</v>
      </c>
      <c r="G45" s="17">
        <v>100.77499999999782</v>
      </c>
    </row>
    <row r="46" spans="1:7">
      <c r="A46" s="11" t="s">
        <v>213</v>
      </c>
      <c r="D46" s="6"/>
      <c r="E46" s="116">
        <v>16830</v>
      </c>
      <c r="F46" s="116">
        <v>10400</v>
      </c>
      <c r="G46" s="17">
        <v>-6430</v>
      </c>
    </row>
    <row r="47" spans="1:7">
      <c r="A47" s="11" t="s">
        <v>284</v>
      </c>
      <c r="D47" s="6"/>
      <c r="E47" s="116">
        <v>53550</v>
      </c>
      <c r="F47" s="116">
        <v>53817.749999999993</v>
      </c>
      <c r="G47" s="17">
        <v>267.74999999999272</v>
      </c>
    </row>
    <row r="48" spans="1:7">
      <c r="A48" s="11" t="s">
        <v>285</v>
      </c>
      <c r="B48" s="126"/>
      <c r="C48" s="126"/>
      <c r="D48" s="6"/>
      <c r="E48" s="112">
        <v>2550</v>
      </c>
      <c r="F48" s="112">
        <v>2775</v>
      </c>
      <c r="G48" s="17">
        <v>225</v>
      </c>
    </row>
    <row r="49" spans="1:7">
      <c r="A49" s="169">
        <v>5033.3</v>
      </c>
      <c r="B49" s="6" t="s">
        <v>98</v>
      </c>
      <c r="C49" s="6"/>
      <c r="D49" s="126"/>
      <c r="E49" s="112">
        <v>0</v>
      </c>
      <c r="F49" s="112">
        <v>10400</v>
      </c>
      <c r="G49" s="17">
        <v>10400</v>
      </c>
    </row>
    <row r="50" spans="1:7">
      <c r="A50" s="6" t="s">
        <v>286</v>
      </c>
      <c r="B50" s="126"/>
      <c r="C50" s="126"/>
      <c r="D50" s="6"/>
      <c r="E50" s="116">
        <v>40307</v>
      </c>
      <c r="F50" s="116">
        <v>43415.999999999993</v>
      </c>
      <c r="G50" s="17">
        <v>3108.9999999999927</v>
      </c>
    </row>
    <row r="51" spans="1:7">
      <c r="A51" s="6" t="s">
        <v>0</v>
      </c>
      <c r="B51" s="126"/>
      <c r="C51" s="126"/>
      <c r="D51" s="6"/>
      <c r="E51" s="116">
        <v>0</v>
      </c>
      <c r="F51" s="116">
        <v>9360</v>
      </c>
      <c r="G51" s="17">
        <v>9360</v>
      </c>
    </row>
    <row r="52" spans="1:7">
      <c r="A52" s="11" t="s">
        <v>121</v>
      </c>
      <c r="B52" s="126"/>
      <c r="C52" s="126"/>
      <c r="D52" s="6"/>
      <c r="E52" s="116">
        <v>67677</v>
      </c>
      <c r="F52" s="116">
        <v>68013.375</v>
      </c>
      <c r="G52" s="17">
        <v>336.375</v>
      </c>
    </row>
    <row r="53" spans="1:7">
      <c r="A53" s="11" t="s">
        <v>96</v>
      </c>
      <c r="B53" s="126"/>
      <c r="C53" s="126"/>
      <c r="D53" s="6"/>
      <c r="E53" s="116">
        <v>3000</v>
      </c>
      <c r="F53" s="116">
        <v>3000</v>
      </c>
      <c r="G53" s="17">
        <v>0</v>
      </c>
    </row>
    <row r="54" spans="1:7">
      <c r="A54" s="9" t="s">
        <v>152</v>
      </c>
      <c r="B54" s="5"/>
      <c r="C54" s="129"/>
      <c r="D54" s="5"/>
      <c r="E54" s="118">
        <v>260169</v>
      </c>
      <c r="F54" s="118">
        <v>277537.90000000002</v>
      </c>
      <c r="G54" s="17">
        <v>17368.900000000023</v>
      </c>
    </row>
    <row r="55" spans="1:7">
      <c r="A55" s="126"/>
      <c r="B55" s="15" t="s">
        <v>153</v>
      </c>
      <c r="C55" s="126"/>
      <c r="D55" s="6"/>
      <c r="E55" s="112"/>
      <c r="F55" s="112"/>
      <c r="G55" s="17"/>
    </row>
    <row r="56" spans="1:7">
      <c r="A56" s="16" t="s">
        <v>154</v>
      </c>
      <c r="B56" s="126"/>
      <c r="C56" s="6"/>
      <c r="D56" s="126"/>
      <c r="E56" s="112">
        <v>5610</v>
      </c>
      <c r="F56" s="112">
        <v>5610</v>
      </c>
      <c r="G56" s="17">
        <v>0</v>
      </c>
    </row>
    <row r="57" spans="1:7">
      <c r="A57" s="16" t="s">
        <v>147</v>
      </c>
      <c r="C57" s="6"/>
      <c r="D57" s="126"/>
      <c r="E57" s="112">
        <v>2016</v>
      </c>
      <c r="F57" s="112">
        <v>2025.5774999999999</v>
      </c>
      <c r="G57" s="17">
        <v>9.5774999999998727</v>
      </c>
    </row>
    <row r="58" spans="1:7">
      <c r="A58" s="16" t="s">
        <v>148</v>
      </c>
      <c r="C58" s="6"/>
      <c r="D58" s="126"/>
      <c r="E58" s="112">
        <v>5355</v>
      </c>
      <c r="F58" s="112">
        <v>5381.7749999999996</v>
      </c>
      <c r="G58" s="17">
        <v>26.774999999999636</v>
      </c>
    </row>
    <row r="59" spans="1:7">
      <c r="A59" s="16" t="s">
        <v>149</v>
      </c>
      <c r="C59" s="6"/>
      <c r="D59" s="126"/>
      <c r="E59" s="112">
        <v>4031</v>
      </c>
      <c r="F59" s="112">
        <v>4341.5999999999995</v>
      </c>
      <c r="G59" s="17">
        <v>310.59999999999945</v>
      </c>
    </row>
    <row r="60" spans="1:7">
      <c r="A60" s="16" t="s">
        <v>336</v>
      </c>
      <c r="C60" s="6"/>
      <c r="D60" s="126"/>
      <c r="E60" s="112">
        <v>6768</v>
      </c>
      <c r="F60" s="112">
        <v>6801.3375000000005</v>
      </c>
      <c r="G60" s="17">
        <v>33.337500000000546</v>
      </c>
    </row>
    <row r="61" spans="1:7">
      <c r="A61" s="14" t="s">
        <v>337</v>
      </c>
      <c r="B61" s="6"/>
      <c r="D61" s="6"/>
      <c r="E61" s="118">
        <v>23780</v>
      </c>
      <c r="F61" s="118">
        <v>24160.29</v>
      </c>
      <c r="G61" s="17">
        <v>380.29000000000087</v>
      </c>
    </row>
    <row r="62" spans="1:7">
      <c r="B62" s="5" t="s">
        <v>338</v>
      </c>
      <c r="D62" s="6"/>
      <c r="E62" s="17"/>
      <c r="F62" s="17"/>
      <c r="G62" s="17"/>
    </row>
    <row r="63" spans="1:7">
      <c r="A63" s="10" t="s">
        <v>116</v>
      </c>
      <c r="D63" s="6"/>
      <c r="E63" s="153">
        <v>32764</v>
      </c>
      <c r="F63" s="153">
        <v>23886.554514645948</v>
      </c>
      <c r="G63" s="17">
        <v>-8877.4454853540519</v>
      </c>
    </row>
    <row r="64" spans="1:7">
      <c r="A64" s="10" t="s">
        <v>193</v>
      </c>
      <c r="D64" s="110"/>
      <c r="E64" s="153">
        <v>65838</v>
      </c>
      <c r="F64" s="153">
        <v>81458.588400000008</v>
      </c>
      <c r="G64" s="17">
        <v>15620.588400000008</v>
      </c>
    </row>
    <row r="65" spans="1:7" hidden="1">
      <c r="A65" s="151"/>
      <c r="B65" s="126" t="s">
        <v>90</v>
      </c>
      <c r="C65" s="126"/>
      <c r="D65" s="110"/>
      <c r="E65" s="94">
        <v>0</v>
      </c>
      <c r="F65" s="94">
        <v>0</v>
      </c>
      <c r="G65" s="17">
        <v>0</v>
      </c>
    </row>
    <row r="66" spans="1:7">
      <c r="A66" s="10" t="s">
        <v>339</v>
      </c>
      <c r="D66" s="109"/>
      <c r="E66" s="153">
        <v>5784</v>
      </c>
      <c r="F66" s="153">
        <v>6550.6627759999983</v>
      </c>
      <c r="G66" s="17">
        <v>766.6627759999983</v>
      </c>
    </row>
    <row r="67" spans="1:7" ht="13" thickBot="1">
      <c r="A67" s="10" t="s">
        <v>258</v>
      </c>
      <c r="D67" s="6"/>
      <c r="E67" s="154">
        <v>2984</v>
      </c>
      <c r="F67" s="154">
        <v>2987.0360000000001</v>
      </c>
      <c r="G67" s="17">
        <v>3.0360000000000582</v>
      </c>
    </row>
    <row r="68" spans="1:7">
      <c r="A68" s="9" t="s">
        <v>259</v>
      </c>
      <c r="B68" s="10"/>
      <c r="C68" s="6"/>
      <c r="D68" s="6"/>
      <c r="E68" s="118">
        <v>107370</v>
      </c>
      <c r="F68" s="118">
        <v>114882.84169064596</v>
      </c>
      <c r="G68" s="18">
        <v>7512.8416906459606</v>
      </c>
    </row>
    <row r="69" spans="1:7">
      <c r="A69" s="9"/>
      <c r="B69" s="10"/>
      <c r="C69" s="6"/>
      <c r="D69" s="6"/>
      <c r="E69" s="118"/>
      <c r="F69" s="118"/>
      <c r="G69" s="18"/>
    </row>
    <row r="70" spans="1:7" ht="13">
      <c r="A70" s="159" t="s">
        <v>260</v>
      </c>
      <c r="B70" s="129"/>
      <c r="C70" s="8"/>
      <c r="D70" s="8"/>
      <c r="E70" s="158">
        <v>670073</v>
      </c>
      <c r="F70" s="158">
        <v>668530</v>
      </c>
      <c r="G70" s="158">
        <v>-1543</v>
      </c>
    </row>
    <row r="71" spans="1:7" ht="13">
      <c r="A71" s="159"/>
      <c r="B71" s="129"/>
      <c r="C71" s="8"/>
      <c r="D71" s="8"/>
      <c r="E71" s="158"/>
      <c r="F71" s="158"/>
      <c r="G71" s="158"/>
    </row>
    <row r="72" spans="1:7">
      <c r="A72" s="5" t="s">
        <v>176</v>
      </c>
      <c r="B72" s="5"/>
      <c r="C72" s="5"/>
      <c r="D72" s="5"/>
      <c r="E72" s="18">
        <v>27600</v>
      </c>
      <c r="F72" s="18">
        <v>28600</v>
      </c>
      <c r="G72" s="17">
        <v>1000</v>
      </c>
    </row>
    <row r="73" spans="1:7" ht="6.75" customHeight="1">
      <c r="D73" s="126"/>
    </row>
    <row r="74" spans="1:7">
      <c r="A74" s="5" t="s">
        <v>177</v>
      </c>
      <c r="B74" s="6"/>
      <c r="C74" s="6"/>
      <c r="D74" s="6"/>
      <c r="E74" s="118">
        <v>60000</v>
      </c>
      <c r="F74" s="118">
        <v>50640</v>
      </c>
      <c r="G74" s="17">
        <v>-9360</v>
      </c>
    </row>
    <row r="75" spans="1:7">
      <c r="B75" s="5"/>
      <c r="C75" s="6"/>
      <c r="D75" s="6"/>
      <c r="E75" s="116"/>
      <c r="F75" s="116"/>
      <c r="G75" s="17"/>
    </row>
    <row r="76" spans="1:7">
      <c r="A76" s="5" t="s">
        <v>342</v>
      </c>
      <c r="B76" s="6"/>
      <c r="C76" s="6"/>
      <c r="D76" s="6"/>
      <c r="E76" s="18">
        <v>11200</v>
      </c>
      <c r="F76" s="18">
        <v>15200</v>
      </c>
      <c r="G76" s="17">
        <v>4000</v>
      </c>
    </row>
    <row r="77" spans="1:7">
      <c r="B77" s="5"/>
      <c r="C77" s="6"/>
      <c r="D77" s="6"/>
      <c r="E77" s="116"/>
      <c r="F77" s="116"/>
      <c r="G77" s="17"/>
    </row>
    <row r="78" spans="1:7">
      <c r="A78" s="5" t="s">
        <v>237</v>
      </c>
      <c r="B78" s="6"/>
      <c r="C78" s="6"/>
      <c r="D78" s="6"/>
      <c r="E78" s="18">
        <v>10700</v>
      </c>
      <c r="F78" s="18">
        <v>9210</v>
      </c>
      <c r="G78" s="17">
        <v>-1490</v>
      </c>
    </row>
    <row r="79" spans="1:7" ht="13">
      <c r="A79"/>
      <c r="B79"/>
      <c r="C79"/>
      <c r="D79" s="12"/>
      <c r="E79" s="18"/>
      <c r="F79" s="18"/>
      <c r="G79" s="17"/>
    </row>
    <row r="80" spans="1:7">
      <c r="A80" s="9" t="s">
        <v>343</v>
      </c>
      <c r="B80" s="6"/>
      <c r="C80" s="6"/>
      <c r="D80" s="6"/>
      <c r="E80" s="18">
        <v>7200</v>
      </c>
      <c r="F80" s="18">
        <v>6450</v>
      </c>
      <c r="G80" s="17">
        <v>-750</v>
      </c>
    </row>
    <row r="81" spans="1:7">
      <c r="A81" s="9"/>
      <c r="B81" s="7"/>
      <c r="C81" s="6"/>
      <c r="D81" s="6"/>
      <c r="E81" s="18"/>
      <c r="F81" s="18"/>
      <c r="G81" s="17"/>
    </row>
    <row r="82" spans="1:7">
      <c r="A82" s="9"/>
      <c r="B82" s="6"/>
      <c r="C82" s="6"/>
      <c r="D82" s="6"/>
      <c r="E82" s="18"/>
      <c r="F82" s="18"/>
      <c r="G82" s="17"/>
    </row>
    <row r="83" spans="1:7">
      <c r="A83" s="130" t="s">
        <v>344</v>
      </c>
      <c r="B83" s="10"/>
      <c r="C83" s="6"/>
      <c r="D83" s="6"/>
      <c r="E83" s="116"/>
      <c r="F83" s="116"/>
      <c r="G83" s="17"/>
    </row>
    <row r="84" spans="1:7">
      <c r="A84" s="9" t="s">
        <v>203</v>
      </c>
      <c r="B84" s="124"/>
      <c r="C84" s="14"/>
      <c r="D84" s="5"/>
      <c r="E84" s="18">
        <v>15900</v>
      </c>
      <c r="F84" s="18">
        <v>15900</v>
      </c>
      <c r="G84" s="17">
        <v>0</v>
      </c>
    </row>
    <row r="85" spans="1:7">
      <c r="D85" s="126"/>
    </row>
    <row r="86" spans="1:7">
      <c r="A86" s="9" t="s">
        <v>146</v>
      </c>
      <c r="B86" s="5"/>
      <c r="D86" s="5"/>
      <c r="E86" s="18">
        <v>6900</v>
      </c>
      <c r="F86" s="18">
        <v>6900</v>
      </c>
      <c r="G86" s="17">
        <v>0</v>
      </c>
    </row>
    <row r="87" spans="1:7">
      <c r="D87" s="126"/>
    </row>
    <row r="88" spans="1:7">
      <c r="A88" s="133" t="s">
        <v>204</v>
      </c>
      <c r="B88" s="133"/>
      <c r="C88" s="133"/>
      <c r="D88" s="126"/>
      <c r="E88" s="18">
        <v>1500</v>
      </c>
      <c r="F88" s="18">
        <v>1500</v>
      </c>
      <c r="G88" s="17">
        <v>0</v>
      </c>
    </row>
    <row r="89" spans="1:7">
      <c r="D89" s="126"/>
    </row>
    <row r="90" spans="1:7">
      <c r="A90" s="133" t="s">
        <v>205</v>
      </c>
      <c r="B90" s="4"/>
      <c r="C90" s="4"/>
      <c r="D90" s="6"/>
      <c r="E90" s="18">
        <v>2100</v>
      </c>
      <c r="F90" s="18">
        <v>3050</v>
      </c>
      <c r="G90" s="17">
        <v>950</v>
      </c>
    </row>
    <row r="91" spans="1:7" ht="13">
      <c r="A91" s="8" t="s">
        <v>341</v>
      </c>
      <c r="B91" s="13"/>
      <c r="C91" s="13"/>
      <c r="D91" s="276"/>
      <c r="E91" s="108">
        <v>26400</v>
      </c>
      <c r="F91" s="108">
        <v>27350</v>
      </c>
      <c r="G91" s="17">
        <v>950</v>
      </c>
    </row>
    <row r="92" spans="1:7">
      <c r="D92" s="126"/>
    </row>
    <row r="93" spans="1:7">
      <c r="D93" s="126"/>
    </row>
    <row r="94" spans="1:7">
      <c r="A94" s="5" t="s">
        <v>300</v>
      </c>
      <c r="B94" s="6"/>
      <c r="C94" s="6"/>
      <c r="D94" s="6"/>
      <c r="E94" s="121">
        <v>16100</v>
      </c>
      <c r="F94" s="121">
        <v>15300</v>
      </c>
      <c r="G94" s="17">
        <v>-800</v>
      </c>
    </row>
    <row r="95" spans="1:7">
      <c r="A95" s="5"/>
      <c r="B95" s="6"/>
      <c r="C95" s="6"/>
      <c r="D95" s="6"/>
      <c r="E95" s="121"/>
      <c r="F95" s="121"/>
      <c r="G95" s="17"/>
    </row>
    <row r="96" spans="1:7">
      <c r="A96" s="5" t="s">
        <v>291</v>
      </c>
      <c r="B96" s="6"/>
      <c r="C96" s="6"/>
      <c r="D96" s="6"/>
      <c r="E96" s="118">
        <v>13900</v>
      </c>
      <c r="F96" s="118">
        <v>14200</v>
      </c>
      <c r="G96" s="17">
        <v>300</v>
      </c>
    </row>
    <row r="97" spans="1:7">
      <c r="A97" s="5"/>
      <c r="B97" s="6"/>
      <c r="C97" s="6"/>
      <c r="D97" s="6"/>
      <c r="E97" s="119"/>
      <c r="F97" s="119"/>
      <c r="G97" s="17"/>
    </row>
    <row r="98" spans="1:7">
      <c r="A98" s="5" t="s">
        <v>228</v>
      </c>
      <c r="B98" s="6"/>
      <c r="C98" s="6"/>
      <c r="D98" s="6"/>
      <c r="E98" s="97">
        <v>30000</v>
      </c>
      <c r="F98" s="97">
        <v>29500</v>
      </c>
      <c r="G98" s="17">
        <v>-500</v>
      </c>
    </row>
    <row r="99" spans="1:7">
      <c r="A99" s="6"/>
      <c r="B99" s="6"/>
      <c r="C99" s="6"/>
      <c r="D99" s="6"/>
      <c r="E99" s="94"/>
      <c r="F99" s="94"/>
      <c r="G99" s="17"/>
    </row>
    <row r="100" spans="1:7">
      <c r="B100" s="5" t="s">
        <v>292</v>
      </c>
      <c r="C100" s="6"/>
      <c r="D100" s="6"/>
      <c r="E100" s="94"/>
      <c r="F100" s="94"/>
      <c r="G100" s="17"/>
    </row>
    <row r="101" spans="1:7">
      <c r="A101" s="6" t="s">
        <v>216</v>
      </c>
      <c r="B101" s="6"/>
      <c r="C101" s="6"/>
      <c r="D101" s="6"/>
      <c r="E101" s="116">
        <v>28680</v>
      </c>
      <c r="F101" s="116">
        <v>29220</v>
      </c>
      <c r="G101" s="17">
        <v>540</v>
      </c>
    </row>
    <row r="102" spans="1:7">
      <c r="A102" s="6" t="s">
        <v>217</v>
      </c>
      <c r="B102" s="6"/>
      <c r="C102" s="6"/>
      <c r="D102" s="6"/>
      <c r="E102" s="120">
        <v>12906</v>
      </c>
      <c r="F102" s="120">
        <v>13149</v>
      </c>
      <c r="G102" s="17">
        <v>243</v>
      </c>
    </row>
    <row r="103" spans="1:7">
      <c r="A103" s="6"/>
      <c r="B103" s="164"/>
      <c r="C103" s="163"/>
      <c r="D103" s="5"/>
      <c r="E103" s="94"/>
      <c r="F103" s="94"/>
      <c r="G103" s="17"/>
    </row>
    <row r="104" spans="1:7">
      <c r="A104" s="5" t="s">
        <v>238</v>
      </c>
      <c r="B104" s="5"/>
      <c r="C104" s="5"/>
      <c r="D104" s="5"/>
      <c r="E104" s="121">
        <v>41586</v>
      </c>
      <c r="F104" s="121">
        <v>42369</v>
      </c>
      <c r="G104" s="17">
        <v>783</v>
      </c>
    </row>
    <row r="105" spans="1:7" ht="13">
      <c r="A105" s="6"/>
      <c r="B105"/>
      <c r="C105"/>
      <c r="D105" s="12"/>
      <c r="E105" s="116"/>
      <c r="F105" s="116"/>
      <c r="G105" s="17"/>
    </row>
    <row r="106" spans="1:7" s="126" customFormat="1">
      <c r="A106" s="5" t="s">
        <v>71</v>
      </c>
      <c r="B106" s="5"/>
      <c r="C106" s="170"/>
      <c r="D106" s="170"/>
      <c r="E106" s="17">
        <v>0</v>
      </c>
      <c r="F106" s="17">
        <v>2000</v>
      </c>
      <c r="G106" s="17">
        <v>2000</v>
      </c>
    </row>
    <row r="107" spans="1:7">
      <c r="D107" s="126"/>
    </row>
    <row r="108" spans="1:7">
      <c r="A108" s="5" t="s">
        <v>239</v>
      </c>
      <c r="B108" s="5"/>
      <c r="C108" s="5"/>
      <c r="D108" s="5"/>
      <c r="E108" s="111">
        <v>5000</v>
      </c>
      <c r="F108" s="111">
        <v>7500</v>
      </c>
      <c r="G108" s="17">
        <v>2500</v>
      </c>
    </row>
    <row r="109" spans="1:7">
      <c r="A109" s="6"/>
      <c r="B109" s="6"/>
      <c r="C109" s="6"/>
      <c r="D109" s="6"/>
      <c r="E109" s="17"/>
      <c r="F109" s="17"/>
      <c r="G109" s="17"/>
    </row>
    <row r="110" spans="1:7">
      <c r="A110" s="5" t="s">
        <v>240</v>
      </c>
      <c r="B110" s="5"/>
      <c r="C110" s="5"/>
      <c r="D110" s="5"/>
      <c r="E110" s="111">
        <v>0</v>
      </c>
      <c r="F110" s="111">
        <v>10000</v>
      </c>
      <c r="G110" s="17">
        <v>10000</v>
      </c>
    </row>
    <row r="111" spans="1:7">
      <c r="D111" s="126"/>
    </row>
    <row r="112" spans="1:7">
      <c r="A112" s="5" t="s">
        <v>241</v>
      </c>
      <c r="B112" s="5"/>
      <c r="C112" s="5"/>
      <c r="D112" s="5"/>
      <c r="E112" s="114">
        <v>10920</v>
      </c>
      <c r="F112" s="114">
        <v>10974.599999999999</v>
      </c>
      <c r="G112" s="17">
        <v>54.599999999998545</v>
      </c>
    </row>
    <row r="113" spans="1:7">
      <c r="D113" s="126"/>
    </row>
    <row r="114" spans="1:7">
      <c r="B114" s="5" t="s">
        <v>242</v>
      </c>
      <c r="C114" s="6"/>
      <c r="D114" s="6"/>
      <c r="E114" s="116"/>
      <c r="F114" s="116"/>
      <c r="G114" s="17"/>
    </row>
    <row r="115" spans="1:7">
      <c r="A115" s="155" t="s">
        <v>220</v>
      </c>
      <c r="B115" s="156"/>
      <c r="C115" s="156"/>
      <c r="D115" s="170"/>
      <c r="E115" s="153">
        <v>5000</v>
      </c>
      <c r="F115" s="153">
        <v>5000</v>
      </c>
      <c r="G115" s="17">
        <v>0</v>
      </c>
    </row>
    <row r="116" spans="1:7">
      <c r="A116" s="155" t="s">
        <v>221</v>
      </c>
      <c r="B116" s="156"/>
      <c r="C116" s="156"/>
      <c r="D116" s="170"/>
      <c r="E116" s="153">
        <v>500</v>
      </c>
      <c r="F116" s="153">
        <v>500</v>
      </c>
      <c r="G116" s="17">
        <v>0</v>
      </c>
    </row>
    <row r="117" spans="1:7">
      <c r="A117" s="6" t="s">
        <v>299</v>
      </c>
      <c r="B117" s="6"/>
      <c r="C117" s="6"/>
      <c r="D117" s="6"/>
      <c r="E117" s="17">
        <v>7200</v>
      </c>
      <c r="F117" s="17">
        <v>8000</v>
      </c>
      <c r="G117" s="17">
        <v>800</v>
      </c>
    </row>
    <row r="118" spans="1:7">
      <c r="A118" s="6" t="s">
        <v>326</v>
      </c>
      <c r="B118" s="6"/>
      <c r="C118" s="6"/>
      <c r="D118" s="6"/>
      <c r="E118" s="116">
        <v>100</v>
      </c>
      <c r="F118" s="116">
        <v>100</v>
      </c>
      <c r="G118" s="17">
        <v>0</v>
      </c>
    </row>
    <row r="119" spans="1:7">
      <c r="A119" s="6" t="s">
        <v>128</v>
      </c>
      <c r="B119" s="6"/>
      <c r="C119" s="6"/>
      <c r="D119" s="6"/>
      <c r="E119" s="116">
        <v>0</v>
      </c>
      <c r="F119" s="116">
        <v>15000</v>
      </c>
      <c r="G119" s="17">
        <v>15000</v>
      </c>
    </row>
    <row r="120" spans="1:7">
      <c r="A120" s="6" t="s">
        <v>327</v>
      </c>
      <c r="B120" s="6"/>
      <c r="C120" s="6"/>
      <c r="D120" s="6"/>
      <c r="E120" s="116">
        <v>1200</v>
      </c>
      <c r="F120" s="116">
        <v>1200</v>
      </c>
      <c r="G120" s="17">
        <v>0</v>
      </c>
    </row>
    <row r="121" spans="1:7">
      <c r="A121" s="6"/>
      <c r="B121" s="6" t="s">
        <v>130</v>
      </c>
      <c r="C121" s="6"/>
      <c r="D121" s="6"/>
      <c r="E121" s="116"/>
      <c r="F121" s="116">
        <v>750</v>
      </c>
      <c r="G121" s="17">
        <v>750</v>
      </c>
    </row>
    <row r="122" spans="1:7">
      <c r="A122" s="10" t="s">
        <v>82</v>
      </c>
      <c r="B122" s="6" t="s">
        <v>2</v>
      </c>
      <c r="C122" s="6"/>
      <c r="D122" s="6"/>
      <c r="E122" s="277">
        <v>2100</v>
      </c>
      <c r="F122" s="277">
        <v>600</v>
      </c>
      <c r="G122" s="278">
        <v>-1500</v>
      </c>
    </row>
    <row r="123" spans="1:7">
      <c r="A123" s="5" t="s">
        <v>287</v>
      </c>
      <c r="B123" s="6"/>
      <c r="C123" s="6"/>
      <c r="D123" s="6"/>
      <c r="E123" s="118">
        <v>16100</v>
      </c>
      <c r="F123" s="118">
        <v>31150</v>
      </c>
      <c r="G123" s="17">
        <v>15050</v>
      </c>
    </row>
    <row r="124" spans="1:7" ht="13">
      <c r="A124"/>
      <c r="B124"/>
      <c r="C124"/>
      <c r="D124" s="6"/>
      <c r="E124" s="12"/>
      <c r="F124" s="12"/>
      <c r="G124"/>
    </row>
    <row r="125" spans="1:7" ht="13" hidden="1">
      <c r="A125"/>
      <c r="B125"/>
      <c r="C125"/>
      <c r="D125" s="126"/>
      <c r="E125" s="12"/>
      <c r="F125" s="12"/>
      <c r="G125"/>
    </row>
    <row r="126" spans="1:7" ht="13" hidden="1">
      <c r="A126"/>
      <c r="B126"/>
      <c r="C126"/>
      <c r="D126" s="6"/>
      <c r="E126" s="12"/>
      <c r="F126" s="12"/>
      <c r="G126"/>
    </row>
    <row r="127" spans="1:7" ht="13" hidden="1">
      <c r="A127"/>
      <c r="B127"/>
      <c r="C127"/>
      <c r="D127" s="6"/>
      <c r="E127" s="12"/>
      <c r="F127" s="12"/>
      <c r="G127"/>
    </row>
    <row r="128" spans="1:7" ht="13" hidden="1">
      <c r="A128" s="6"/>
      <c r="B128" s="6"/>
      <c r="C128" s="6"/>
      <c r="D128" s="6"/>
      <c r="E128" s="12"/>
      <c r="F128" s="12"/>
      <c r="G128"/>
    </row>
    <row r="129" spans="1:8" ht="13" hidden="1">
      <c r="A129" s="126"/>
      <c r="B129" s="6"/>
      <c r="C129" s="126"/>
      <c r="D129" s="126"/>
      <c r="E129" s="12"/>
      <c r="F129" s="12"/>
      <c r="G129"/>
    </row>
    <row r="130" spans="1:8">
      <c r="A130" s="5" t="s">
        <v>126</v>
      </c>
      <c r="B130" s="126"/>
      <c r="C130" s="6"/>
      <c r="D130" s="6"/>
      <c r="E130" s="153">
        <v>36000</v>
      </c>
      <c r="F130" s="153">
        <v>10000</v>
      </c>
      <c r="G130" s="17">
        <v>-26000</v>
      </c>
    </row>
    <row r="131" spans="1:8" ht="13">
      <c r="D131" s="126"/>
      <c r="E131" s="12"/>
      <c r="F131" s="12"/>
    </row>
    <row r="132" spans="1:8" ht="13">
      <c r="A132" s="8" t="s">
        <v>288</v>
      </c>
      <c r="B132" s="8"/>
      <c r="C132" s="8"/>
      <c r="D132" s="8"/>
      <c r="E132" s="161">
        <v>952779</v>
      </c>
      <c r="F132" s="161">
        <v>949473.6</v>
      </c>
      <c r="G132" s="18">
        <v>-3305.4000000000233</v>
      </c>
    </row>
    <row r="133" spans="1:8">
      <c r="D133" s="126"/>
    </row>
    <row r="134" spans="1:8" ht="14" thickBot="1">
      <c r="A134" s="8" t="s">
        <v>289</v>
      </c>
      <c r="B134" s="8"/>
      <c r="C134" s="8"/>
      <c r="D134" s="8"/>
      <c r="E134" s="171">
        <v>-46746</v>
      </c>
      <c r="F134" s="275">
        <v>1532.4000000000233</v>
      </c>
      <c r="G134" s="18">
        <v>48278.400000000023</v>
      </c>
    </row>
    <row r="135" spans="1:8" ht="13.5" thickTop="1">
      <c r="G135" s="123"/>
    </row>
    <row r="136" spans="1:8" ht="13">
      <c r="A136" s="8" t="s">
        <v>328</v>
      </c>
      <c r="E136" s="145">
        <v>906033</v>
      </c>
      <c r="F136" s="145">
        <v>951006</v>
      </c>
      <c r="G136" s="174">
        <v>44973</v>
      </c>
    </row>
    <row r="137" spans="1:8">
      <c r="E137" s="127"/>
      <c r="F137" s="127"/>
      <c r="G137" s="123"/>
    </row>
    <row r="138" spans="1:8">
      <c r="E138" s="128"/>
      <c r="F138" s="128"/>
      <c r="G138" s="123"/>
    </row>
    <row r="139" spans="1:8" ht="13">
      <c r="B139"/>
      <c r="C139"/>
      <c r="D139"/>
      <c r="E139"/>
      <c r="F139"/>
      <c r="G139"/>
      <c r="H139"/>
    </row>
    <row r="140" spans="1:8" ht="13">
      <c r="B140"/>
      <c r="C140"/>
      <c r="D140"/>
      <c r="E140"/>
      <c r="F140"/>
      <c r="G140"/>
      <c r="H140"/>
    </row>
    <row r="141" spans="1:8" ht="13">
      <c r="B141"/>
      <c r="C141"/>
      <c r="D141"/>
      <c r="E141"/>
      <c r="F141"/>
      <c r="G141"/>
      <c r="H141"/>
    </row>
    <row r="142" spans="1:8" ht="13">
      <c r="B142"/>
      <c r="C142"/>
      <c r="D142"/>
      <c r="E142"/>
      <c r="F142"/>
      <c r="G142"/>
      <c r="H142"/>
    </row>
    <row r="143" spans="1:8" ht="13">
      <c r="B143"/>
      <c r="C143"/>
      <c r="D143"/>
      <c r="E143"/>
      <c r="F143"/>
      <c r="G143"/>
    </row>
    <row r="144" spans="1:8" ht="13">
      <c r="B144"/>
      <c r="C144"/>
      <c r="D144"/>
      <c r="E144"/>
      <c r="F144"/>
      <c r="G144"/>
    </row>
    <row r="145" spans="2:7" ht="13">
      <c r="B145"/>
      <c r="C145"/>
      <c r="D145"/>
      <c r="E145"/>
      <c r="F145"/>
      <c r="G145"/>
    </row>
  </sheetData>
  <sheetCalcPr fullCalcOnLoad="1"/>
  <phoneticPr fontId="6" type="noConversion"/>
  <pageMargins left="0.25" right="0.25" top="0.5" bottom="0.5" header="0" footer="0.25"/>
  <headerFooter alignWithMargins="0">
    <oddFooter>&amp;LBudget 2013-Detail&amp;Ru  &amp;D&amp;T&amp;P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Q148"/>
  <sheetViews>
    <sheetView zoomScale="200" zoomScaleNormal="200" zoomScalePageLayoutView="2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P12" sqref="P12"/>
    </sheetView>
  </sheetViews>
  <sheetFormatPr baseColWidth="10" defaultColWidth="7.42578125" defaultRowHeight="10"/>
  <cols>
    <col min="1" max="1" width="25.42578125" style="20" customWidth="1"/>
    <col min="2" max="2" width="5.28515625" style="20" customWidth="1"/>
    <col min="3" max="3" width="3.85546875" style="20" customWidth="1"/>
    <col min="4" max="4" width="7.42578125" style="74" customWidth="1"/>
    <col min="5" max="5" width="7.42578125" style="20" customWidth="1"/>
    <col min="6" max="6" width="7.5703125" style="20" customWidth="1"/>
    <col min="7" max="10" width="6.7109375" style="20" customWidth="1"/>
    <col min="11" max="11" width="6.7109375" style="74" customWidth="1"/>
    <col min="12" max="13" width="6.7109375" style="20" customWidth="1"/>
    <col min="14" max="14" width="7" style="20" customWidth="1"/>
    <col min="15" max="15" width="10" style="20" customWidth="1"/>
    <col min="16" max="16" width="8.140625" style="20" customWidth="1"/>
    <col min="17" max="16384" width="7.42578125" style="20"/>
  </cols>
  <sheetData>
    <row r="1" spans="1:15">
      <c r="A1" s="19" t="s">
        <v>249</v>
      </c>
      <c r="D1" s="73"/>
      <c r="E1" s="73"/>
      <c r="F1" s="21"/>
      <c r="G1" s="21"/>
      <c r="H1" s="21"/>
      <c r="I1" s="21"/>
      <c r="J1" s="21"/>
    </row>
    <row r="2" spans="1:15" ht="13">
      <c r="A2" s="22" t="s">
        <v>79</v>
      </c>
      <c r="C2"/>
      <c r="D2"/>
      <c r="E2" s="74"/>
      <c r="G2"/>
      <c r="I2" s="74"/>
    </row>
    <row r="3" spans="1:15">
      <c r="A3" s="20" t="str">
        <f>'P&amp;L'!C2</f>
        <v>5.23.14</v>
      </c>
      <c r="C3" s="177" t="s">
        <v>83</v>
      </c>
      <c r="D3" s="146" t="s">
        <v>225</v>
      </c>
      <c r="E3" s="146" t="s">
        <v>155</v>
      </c>
      <c r="F3" s="146" t="s">
        <v>156</v>
      </c>
      <c r="G3" s="146" t="s">
        <v>275</v>
      </c>
      <c r="H3" s="146" t="s">
        <v>157</v>
      </c>
      <c r="I3" s="146" t="s">
        <v>158</v>
      </c>
      <c r="J3" s="146" t="s">
        <v>122</v>
      </c>
      <c r="K3" s="146" t="s">
        <v>131</v>
      </c>
      <c r="L3" s="147" t="s">
        <v>159</v>
      </c>
      <c r="M3" s="147" t="s">
        <v>160</v>
      </c>
      <c r="N3" s="148"/>
    </row>
    <row r="4" spans="1:15" ht="13">
      <c r="A4"/>
      <c r="B4" s="24"/>
      <c r="C4" s="177" t="s">
        <v>94</v>
      </c>
      <c r="D4" s="146" t="s">
        <v>155</v>
      </c>
      <c r="E4" s="146" t="s">
        <v>161</v>
      </c>
      <c r="F4" s="149" t="s">
        <v>162</v>
      </c>
      <c r="G4" s="146"/>
      <c r="H4" s="146" t="s">
        <v>123</v>
      </c>
      <c r="I4" s="146" t="s">
        <v>163</v>
      </c>
      <c r="J4" s="146" t="s">
        <v>123</v>
      </c>
      <c r="K4" s="147" t="s">
        <v>141</v>
      </c>
      <c r="L4" s="147" t="s">
        <v>162</v>
      </c>
      <c r="M4" s="150" t="s">
        <v>164</v>
      </c>
      <c r="N4" s="146" t="s">
        <v>165</v>
      </c>
    </row>
    <row r="5" spans="1:15">
      <c r="A5" s="20" t="s">
        <v>166</v>
      </c>
      <c r="B5" s="25"/>
      <c r="C5" s="85">
        <f>C6+C7</f>
        <v>0</v>
      </c>
      <c r="D5" s="179">
        <f>D7+D6</f>
        <v>119167.1</v>
      </c>
      <c r="E5" s="179">
        <f>(E31+E32)*(1+$B$53)*E$38*$B$51</f>
        <v>88924.409999999989</v>
      </c>
      <c r="F5" s="191">
        <f>F6</f>
        <v>56100</v>
      </c>
      <c r="G5" s="191">
        <f t="shared" ref="G5:M5" si="0">G6</f>
        <v>43415.999999999993</v>
      </c>
      <c r="H5" s="191">
        <f t="shared" si="0"/>
        <v>10400</v>
      </c>
      <c r="I5" s="191">
        <f t="shared" si="0"/>
        <v>53817.749999999993</v>
      </c>
      <c r="J5" s="191">
        <f t="shared" si="0"/>
        <v>10400</v>
      </c>
      <c r="K5" s="191">
        <f t="shared" si="0"/>
        <v>9360</v>
      </c>
      <c r="L5" s="191">
        <f t="shared" si="0"/>
        <v>68013.375</v>
      </c>
      <c r="M5" s="191">
        <f t="shared" si="0"/>
        <v>20255.774999999998</v>
      </c>
      <c r="N5" s="190">
        <f t="shared" ref="N5:N11" si="1">SUM(C5:M5)</f>
        <v>479854.41000000003</v>
      </c>
      <c r="O5" s="56"/>
    </row>
    <row r="6" spans="1:15">
      <c r="A6" s="20" t="s">
        <v>224</v>
      </c>
      <c r="C6" s="77">
        <f>C22-C7-C8-C11-C14-C15</f>
        <v>0</v>
      </c>
      <c r="D6" s="175">
        <f>75400*$B$50</f>
        <v>69116.918000000005</v>
      </c>
      <c r="E6" s="193">
        <f>E5-E7</f>
        <v>53924.409999999989</v>
      </c>
      <c r="F6" s="175">
        <f>F31*$B$51</f>
        <v>56100</v>
      </c>
      <c r="G6" s="175">
        <f>G31*(1+$B$53)*G$38*$B$51</f>
        <v>43415.999999999993</v>
      </c>
      <c r="H6" s="175">
        <v>10400</v>
      </c>
      <c r="I6" s="175">
        <f>I31*(1+$B$53)*I$38*$B$51</f>
        <v>53817.749999999993</v>
      </c>
      <c r="J6" s="175">
        <f>J31</f>
        <v>10400</v>
      </c>
      <c r="K6" s="175">
        <f>K31</f>
        <v>9360</v>
      </c>
      <c r="L6" s="175">
        <f>L31*(1+$B$53)*L$38*$B$51</f>
        <v>68013.375</v>
      </c>
      <c r="M6" s="175">
        <f>M31*(1+$B$53)*M$38*$B$51</f>
        <v>20255.774999999998</v>
      </c>
      <c r="N6" s="180">
        <f t="shared" si="1"/>
        <v>394804.228</v>
      </c>
      <c r="O6" s="20" t="s">
        <v>4</v>
      </c>
    </row>
    <row r="7" spans="1:15">
      <c r="A7" s="20" t="s">
        <v>167</v>
      </c>
      <c r="B7" s="27"/>
      <c r="C7" s="77">
        <f>C32*(1+$B$53)</f>
        <v>0</v>
      </c>
      <c r="D7" s="175">
        <f>54600*$B$50</f>
        <v>50050.182000000001</v>
      </c>
      <c r="E7" s="175">
        <v>35000</v>
      </c>
      <c r="F7" s="175">
        <v>0</v>
      </c>
      <c r="G7" s="175">
        <v>0</v>
      </c>
      <c r="H7" s="175">
        <v>0</v>
      </c>
      <c r="I7" s="175">
        <v>0</v>
      </c>
      <c r="J7" s="175"/>
      <c r="K7" s="194"/>
      <c r="L7" s="175">
        <v>0</v>
      </c>
      <c r="M7" s="194">
        <v>0</v>
      </c>
      <c r="N7" s="180">
        <f t="shared" si="1"/>
        <v>85050.182000000001</v>
      </c>
      <c r="O7" s="20" t="s">
        <v>3</v>
      </c>
    </row>
    <row r="8" spans="1:15">
      <c r="A8" s="20" t="s">
        <v>168</v>
      </c>
      <c r="C8" s="77">
        <f>C33</f>
        <v>0</v>
      </c>
      <c r="D8" s="194">
        <f>13000*$B$50</f>
        <v>11916.71</v>
      </c>
      <c r="E8" s="195">
        <v>2775</v>
      </c>
      <c r="F8" s="175">
        <v>0</v>
      </c>
      <c r="G8" s="175">
        <v>0</v>
      </c>
      <c r="H8" s="175">
        <v>0</v>
      </c>
      <c r="I8" s="195">
        <v>2775</v>
      </c>
      <c r="J8" s="175"/>
      <c r="K8" s="194"/>
      <c r="L8" s="195">
        <f>3000*$B$51</f>
        <v>3000</v>
      </c>
      <c r="M8" s="194">
        <v>0</v>
      </c>
      <c r="N8" s="180">
        <f t="shared" si="1"/>
        <v>20466.71</v>
      </c>
      <c r="O8" s="20" t="s">
        <v>118</v>
      </c>
    </row>
    <row r="9" spans="1:15">
      <c r="A9" s="20" t="s">
        <v>124</v>
      </c>
      <c r="C9" s="77"/>
      <c r="D9" s="194">
        <f>D5*B70*$B$50</f>
        <v>8356.6232751105017</v>
      </c>
      <c r="E9" s="195"/>
      <c r="F9" s="175"/>
      <c r="G9" s="175"/>
      <c r="H9" s="175"/>
      <c r="I9" s="195"/>
      <c r="J9" s="175"/>
      <c r="K9" s="194"/>
      <c r="L9" s="194"/>
      <c r="M9" s="194"/>
      <c r="N9" s="180">
        <f t="shared" si="1"/>
        <v>8356.6232751105017</v>
      </c>
      <c r="O9" s="20" t="s">
        <v>125</v>
      </c>
    </row>
    <row r="10" spans="1:15">
      <c r="A10" s="20" t="s">
        <v>169</v>
      </c>
      <c r="B10" s="29"/>
      <c r="C10" s="77">
        <v>0</v>
      </c>
      <c r="D10" s="194">
        <v>0</v>
      </c>
      <c r="E10" s="194">
        <v>0</v>
      </c>
      <c r="F10" s="175">
        <v>0</v>
      </c>
      <c r="G10" s="175">
        <v>0</v>
      </c>
      <c r="H10" s="175">
        <v>0</v>
      </c>
      <c r="I10" s="175">
        <v>0</v>
      </c>
      <c r="J10" s="175"/>
      <c r="K10" s="194"/>
      <c r="L10" s="175">
        <v>0</v>
      </c>
      <c r="M10" s="194">
        <v>0</v>
      </c>
      <c r="N10" s="180">
        <f t="shared" si="1"/>
        <v>0</v>
      </c>
      <c r="O10" s="20" t="s">
        <v>119</v>
      </c>
    </row>
    <row r="11" spans="1:15">
      <c r="A11" s="20" t="s">
        <v>170</v>
      </c>
      <c r="B11" s="30"/>
      <c r="C11" s="77">
        <f>C34</f>
        <v>0</v>
      </c>
      <c r="D11" s="196">
        <f>SUM(D6:D7)*$B$69</f>
        <v>11916.710000000001</v>
      </c>
      <c r="E11" s="196">
        <f>SUM(E6:E7)*$B$69</f>
        <v>8892.4409999999989</v>
      </c>
      <c r="F11" s="197">
        <f>SUM(F6:F7)*$B$69</f>
        <v>5610</v>
      </c>
      <c r="G11" s="197">
        <f>SUM(G6:G7)*$B$69</f>
        <v>4341.5999999999995</v>
      </c>
      <c r="H11" s="197">
        <v>0</v>
      </c>
      <c r="I11" s="197">
        <f>SUM(I6:I7)*$B$69</f>
        <v>5381.7749999999996</v>
      </c>
      <c r="J11" s="197"/>
      <c r="K11" s="196"/>
      <c r="L11" s="197">
        <f>SUM(L6:L7)*$B$69</f>
        <v>6801.3375000000005</v>
      </c>
      <c r="M11" s="196">
        <f>SUM(M6:M7)*$B$69</f>
        <v>2025.5774999999999</v>
      </c>
      <c r="N11" s="180">
        <f t="shared" si="1"/>
        <v>44969.440999999999</v>
      </c>
    </row>
    <row r="12" spans="1:15">
      <c r="A12" s="31" t="s">
        <v>171</v>
      </c>
      <c r="B12" s="25"/>
      <c r="C12" s="86"/>
      <c r="D12" s="175">
        <f t="shared" ref="D12:K12" si="2">SUM(D6:D11)</f>
        <v>151357.14327511049</v>
      </c>
      <c r="E12" s="194">
        <f t="shared" si="2"/>
        <v>100591.851</v>
      </c>
      <c r="F12" s="175">
        <f t="shared" si="2"/>
        <v>61710</v>
      </c>
      <c r="G12" s="175">
        <f t="shared" si="2"/>
        <v>47757.599999999991</v>
      </c>
      <c r="H12" s="175">
        <f t="shared" si="2"/>
        <v>10400</v>
      </c>
      <c r="I12" s="175">
        <f t="shared" si="2"/>
        <v>61974.524999999994</v>
      </c>
      <c r="J12" s="175">
        <f t="shared" si="2"/>
        <v>10400</v>
      </c>
      <c r="K12" s="175">
        <f t="shared" si="2"/>
        <v>9360</v>
      </c>
      <c r="L12" s="175">
        <f>SUM(L6:L11)</f>
        <v>77814.712499999994</v>
      </c>
      <c r="M12" s="194">
        <f>SUM(M6:M11)</f>
        <v>22281.352499999997</v>
      </c>
      <c r="N12" s="207">
        <f>SUM(N6:N11)</f>
        <v>553647.1842751106</v>
      </c>
      <c r="O12" s="122">
        <f>SUM(C12:M12)</f>
        <v>553647.18427511049</v>
      </c>
    </row>
    <row r="13" spans="1:15">
      <c r="A13" s="19" t="s">
        <v>172</v>
      </c>
      <c r="B13" s="29"/>
      <c r="C13" s="86"/>
      <c r="D13" s="175"/>
      <c r="E13" s="194"/>
      <c r="F13" s="175"/>
      <c r="G13" s="175"/>
      <c r="H13" s="175"/>
      <c r="I13" s="175"/>
      <c r="J13" s="175"/>
      <c r="K13" s="194"/>
      <c r="L13" s="175"/>
      <c r="M13" s="194"/>
      <c r="N13" s="180"/>
    </row>
    <row r="14" spans="1:15">
      <c r="B14" s="29"/>
      <c r="C14" s="77"/>
      <c r="D14" s="175"/>
      <c r="E14" s="194"/>
      <c r="F14" s="175"/>
      <c r="G14" s="175"/>
      <c r="H14" s="175"/>
      <c r="I14" s="175"/>
      <c r="J14" s="175"/>
      <c r="K14" s="194"/>
      <c r="L14" s="175"/>
      <c r="M14" s="194"/>
      <c r="N14" s="205"/>
    </row>
    <row r="15" spans="1:15">
      <c r="B15" s="29"/>
      <c r="C15" s="77"/>
      <c r="D15" s="175"/>
      <c r="E15" s="194"/>
      <c r="F15" s="175"/>
      <c r="G15" s="175"/>
      <c r="H15" s="175"/>
      <c r="I15" s="175"/>
      <c r="J15" s="175"/>
      <c r="K15" s="194"/>
      <c r="L15" s="175"/>
      <c r="M15" s="194"/>
      <c r="N15" s="205"/>
    </row>
    <row r="16" spans="1:15">
      <c r="C16" s="74"/>
      <c r="D16" s="143"/>
      <c r="E16" s="143"/>
      <c r="F16" s="143"/>
      <c r="G16" s="143"/>
      <c r="H16" s="143"/>
      <c r="I16" s="143"/>
      <c r="J16" s="143"/>
      <c r="K16" s="198"/>
      <c r="L16" s="143"/>
      <c r="M16" s="143"/>
      <c r="N16" s="180"/>
    </row>
    <row r="17" spans="1:16">
      <c r="A17" s="20" t="s">
        <v>244</v>
      </c>
      <c r="B17" s="29"/>
      <c r="C17" s="77"/>
      <c r="D17" s="194">
        <f>D99</f>
        <v>12863.025000000001</v>
      </c>
      <c r="E17" s="194">
        <f>E97</f>
        <v>11929.7808</v>
      </c>
      <c r="F17" s="194">
        <f>F97</f>
        <v>11929.7808</v>
      </c>
      <c r="G17" s="194">
        <f>G97</f>
        <v>8662.8905999999988</v>
      </c>
      <c r="H17" s="194">
        <f>H97</f>
        <v>0</v>
      </c>
      <c r="I17" s="194">
        <f>I97</f>
        <v>8244.2304000000004</v>
      </c>
      <c r="J17" s="194"/>
      <c r="K17" s="194">
        <f>K97</f>
        <v>0</v>
      </c>
      <c r="L17" s="194">
        <f>L97</f>
        <v>0</v>
      </c>
      <c r="M17" s="194">
        <f>M97</f>
        <v>17477.560800000003</v>
      </c>
      <c r="N17" s="205">
        <f>SUM(C17:M17)</f>
        <v>71107.268400000001</v>
      </c>
      <c r="P17" s="143"/>
    </row>
    <row r="18" spans="1:16">
      <c r="A18" s="20" t="s">
        <v>173</v>
      </c>
      <c r="B18" s="32"/>
      <c r="C18" s="77"/>
      <c r="D18" s="194">
        <f>D133</f>
        <v>597</v>
      </c>
      <c r="E18" s="194">
        <f>E131*E$38</f>
        <v>597</v>
      </c>
      <c r="F18" s="194">
        <f>F131*F$38</f>
        <v>597</v>
      </c>
      <c r="G18" s="194">
        <f>G131*G$38</f>
        <v>597</v>
      </c>
      <c r="H18" s="194">
        <f>H131*H$38</f>
        <v>0</v>
      </c>
      <c r="I18" s="194">
        <f>I131*I$38</f>
        <v>597</v>
      </c>
      <c r="J18" s="194"/>
      <c r="K18" s="194"/>
      <c r="L18" s="194">
        <f>L131*L$38</f>
        <v>597</v>
      </c>
      <c r="M18" s="194">
        <f>M131*M$38</f>
        <v>597</v>
      </c>
      <c r="N18" s="205">
        <f>SUM(C18:M18)</f>
        <v>4179</v>
      </c>
      <c r="P18" s="143"/>
    </row>
    <row r="19" spans="1:16">
      <c r="A19" s="20" t="s">
        <v>174</v>
      </c>
      <c r="C19" s="86">
        <v>0</v>
      </c>
      <c r="D19" s="194">
        <f>D137</f>
        <v>0</v>
      </c>
      <c r="E19" s="194">
        <f>E135*E$38</f>
        <v>624.96</v>
      </c>
      <c r="F19" s="194">
        <f>F135*F$38</f>
        <v>274.56</v>
      </c>
      <c r="G19" s="194">
        <f>G135*G$38</f>
        <v>304.08</v>
      </c>
      <c r="H19" s="194">
        <f>H135*H$38</f>
        <v>0</v>
      </c>
      <c r="I19" s="194">
        <f>I135*I$38</f>
        <v>403.20000000000005</v>
      </c>
      <c r="J19" s="194"/>
      <c r="K19" s="194"/>
      <c r="L19" s="194">
        <f>L135*L$38</f>
        <v>298.79999999999995</v>
      </c>
      <c r="M19" s="194">
        <f>M135*M$38</f>
        <v>222.84</v>
      </c>
      <c r="N19" s="205">
        <f>SUM(C19:M19)</f>
        <v>2128.44</v>
      </c>
      <c r="P19" s="143"/>
    </row>
    <row r="20" spans="1:16">
      <c r="A20" s="20" t="s">
        <v>175</v>
      </c>
      <c r="C20" s="87">
        <v>0</v>
      </c>
      <c r="D20" s="194">
        <f>D140</f>
        <v>1080</v>
      </c>
      <c r="E20" s="194">
        <f t="shared" ref="E20:M20" si="3">E138*E$38</f>
        <v>813.72</v>
      </c>
      <c r="F20" s="194">
        <f t="shared" si="3"/>
        <v>549.96</v>
      </c>
      <c r="G20" s="194">
        <f t="shared" si="3"/>
        <v>396</v>
      </c>
      <c r="H20" s="194">
        <f t="shared" si="3"/>
        <v>0</v>
      </c>
      <c r="I20" s="194">
        <f t="shared" si="3"/>
        <v>525</v>
      </c>
      <c r="J20" s="194"/>
      <c r="K20" s="194">
        <f t="shared" si="3"/>
        <v>0</v>
      </c>
      <c r="L20" s="194">
        <f t="shared" si="3"/>
        <v>389.04</v>
      </c>
      <c r="M20" s="194">
        <f t="shared" si="3"/>
        <v>290.15999999999997</v>
      </c>
      <c r="N20" s="205">
        <f>SUM(C20:M20)</f>
        <v>4043.88</v>
      </c>
      <c r="O20" s="60"/>
      <c r="P20" s="143"/>
    </row>
    <row r="21" spans="1:16">
      <c r="A21" s="33" t="s">
        <v>214</v>
      </c>
      <c r="C21" s="77">
        <f>SUM(C6:C20)</f>
        <v>0</v>
      </c>
      <c r="D21" s="175"/>
      <c r="E21" s="194"/>
      <c r="F21" s="175"/>
      <c r="G21" s="175"/>
      <c r="H21" s="175"/>
      <c r="I21" s="175"/>
      <c r="J21" s="175"/>
      <c r="K21" s="194"/>
      <c r="L21" s="175"/>
      <c r="M21" s="199"/>
      <c r="N21" s="190">
        <f>SUM(N17:N20)</f>
        <v>81458.588400000008</v>
      </c>
      <c r="O21" s="60"/>
      <c r="P21" s="143"/>
    </row>
    <row r="22" spans="1:16">
      <c r="A22" s="23"/>
      <c r="B22" s="32"/>
      <c r="C22" s="86">
        <f>C31*(1+$B$53)</f>
        <v>0</v>
      </c>
      <c r="D22" s="175"/>
      <c r="E22" s="194"/>
      <c r="F22" s="175"/>
      <c r="G22" s="175"/>
      <c r="H22" s="175"/>
      <c r="I22" s="175"/>
      <c r="J22" s="175"/>
      <c r="K22" s="194"/>
      <c r="L22" s="175"/>
      <c r="M22" s="200"/>
      <c r="N22" s="180"/>
      <c r="O22" s="58"/>
      <c r="P22" s="143"/>
    </row>
    <row r="23" spans="1:16">
      <c r="A23" s="20" t="s">
        <v>110</v>
      </c>
      <c r="C23" s="77">
        <f>C78*B60</f>
        <v>0</v>
      </c>
      <c r="D23" s="194">
        <f>D9*B60</f>
        <v>518.11064305685113</v>
      </c>
      <c r="E23" s="201">
        <f>(E76-E74)*B60</f>
        <v>3158.401817599999</v>
      </c>
      <c r="F23" s="194">
        <f t="shared" ref="F23:M23" si="4">IF((F12-F8-F11-F74)*$B60&lt;$B62,(F12-F8-F11-F74)*$B60,$B62)</f>
        <v>3293.2883975999998</v>
      </c>
      <c r="G23" s="194">
        <f t="shared" si="4"/>
        <v>2419.4125211999994</v>
      </c>
      <c r="H23" s="194">
        <f t="shared" si="4"/>
        <v>644.79999999999995</v>
      </c>
      <c r="I23" s="194">
        <f t="shared" si="4"/>
        <v>3208.9149287999994</v>
      </c>
      <c r="J23" s="194">
        <f t="shared" si="4"/>
        <v>644.79999999999995</v>
      </c>
      <c r="K23" s="194">
        <f t="shared" si="4"/>
        <v>580.32000000000005</v>
      </c>
      <c r="L23" s="194">
        <f t="shared" si="4"/>
        <v>4216.8292499999998</v>
      </c>
      <c r="M23" s="199">
        <f t="shared" si="4"/>
        <v>674.16008759999977</v>
      </c>
      <c r="N23" s="205">
        <f>SUM(C23:M23)</f>
        <v>19359.037645856846</v>
      </c>
      <c r="P23" s="143"/>
    </row>
    <row r="24" spans="1:16">
      <c r="A24" s="20" t="s">
        <v>245</v>
      </c>
      <c r="B24" s="32"/>
      <c r="C24" s="86">
        <f>C78*B61</f>
        <v>0</v>
      </c>
      <c r="D24" s="194">
        <f>D9*B61</f>
        <v>121.17103748910228</v>
      </c>
      <c r="E24" s="201">
        <f>(E76-E74)*B61</f>
        <v>738.65848959999983</v>
      </c>
      <c r="F24" s="175">
        <f t="shared" ref="F24:M24" si="5">(F12-F8-F11-F74)*$B61</f>
        <v>770.20454459999996</v>
      </c>
      <c r="G24" s="175">
        <f t="shared" si="5"/>
        <v>565.83034769999995</v>
      </c>
      <c r="H24" s="175">
        <f t="shared" si="5"/>
        <v>150.80000000000001</v>
      </c>
      <c r="I24" s="175">
        <f t="shared" si="5"/>
        <v>750.47203979999995</v>
      </c>
      <c r="J24" s="175">
        <f t="shared" si="5"/>
        <v>150.80000000000001</v>
      </c>
      <c r="K24" s="175">
        <f t="shared" si="5"/>
        <v>135.72</v>
      </c>
      <c r="L24" s="175">
        <f t="shared" si="5"/>
        <v>986.19393750000006</v>
      </c>
      <c r="M24" s="175">
        <f t="shared" si="5"/>
        <v>157.66647209999996</v>
      </c>
      <c r="N24" s="205">
        <f>SUM(C24:M24)</f>
        <v>4527.5168687891019</v>
      </c>
      <c r="O24" s="58">
        <f>N23+N24</f>
        <v>23886.554514645948</v>
      </c>
      <c r="P24" s="143"/>
    </row>
    <row r="25" spans="1:16">
      <c r="A25" s="20" t="s">
        <v>330</v>
      </c>
      <c r="C25" s="86"/>
      <c r="D25" s="194">
        <f t="shared" ref="D25:I25" si="6">15000*$B63*D$38</f>
        <v>331.5</v>
      </c>
      <c r="E25" s="194">
        <f t="shared" si="6"/>
        <v>331.5</v>
      </c>
      <c r="F25" s="194">
        <f t="shared" si="6"/>
        <v>331.5</v>
      </c>
      <c r="G25" s="194">
        <f t="shared" si="6"/>
        <v>331.5</v>
      </c>
      <c r="H25" s="194">
        <f>H6*B63</f>
        <v>229.84</v>
      </c>
      <c r="I25" s="194">
        <f t="shared" si="6"/>
        <v>331.5</v>
      </c>
      <c r="J25" s="194">
        <f>J6*B63</f>
        <v>229.84</v>
      </c>
      <c r="K25" s="194">
        <f>K6*B63</f>
        <v>206.85600000000002</v>
      </c>
      <c r="L25" s="194">
        <f>15000*$B63*L$38</f>
        <v>331.5</v>
      </c>
      <c r="M25" s="194">
        <f>15000*$B63*M$38</f>
        <v>331.5</v>
      </c>
      <c r="N25" s="208">
        <f>SUM(C25:M25)</f>
        <v>2987.0360000000001</v>
      </c>
      <c r="P25" s="143"/>
    </row>
    <row r="26" spans="1:16">
      <c r="A26" s="20" t="s">
        <v>212</v>
      </c>
      <c r="C26" s="87"/>
      <c r="D26" s="196">
        <f>(D5+D8)/100*$B$67</f>
        <v>956.91181299999994</v>
      </c>
      <c r="E26" s="196">
        <f>(E5/100)*$B$67</f>
        <v>649.14819299999988</v>
      </c>
      <c r="F26" s="196">
        <f>(F5/100)*$B$67</f>
        <v>409.53</v>
      </c>
      <c r="G26" s="196">
        <f>(G5/100)*$B$68</f>
        <v>2752.5743999999995</v>
      </c>
      <c r="H26" s="196">
        <f>(H5/100)*$B$67</f>
        <v>75.92</v>
      </c>
      <c r="I26" s="196">
        <f>(I5/100)*$B$67</f>
        <v>392.86957499999994</v>
      </c>
      <c r="J26" s="196">
        <f>(J5/100)*$B$67</f>
        <v>75.92</v>
      </c>
      <c r="K26" s="196">
        <f>(K5/100)*$B$68</f>
        <v>593.42399999999998</v>
      </c>
      <c r="L26" s="196">
        <f>(L5/100)*$B$67</f>
        <v>496.49763749999994</v>
      </c>
      <c r="M26" s="196">
        <f>(M5/100)*$B$67</f>
        <v>147.86715749999996</v>
      </c>
      <c r="N26" s="208">
        <f>SUM(C26:M26)</f>
        <v>6550.6627759999983</v>
      </c>
      <c r="O26" s="74"/>
      <c r="P26" s="143"/>
    </row>
    <row r="27" spans="1:16">
      <c r="A27" s="20" t="s">
        <v>293</v>
      </c>
      <c r="B27" s="32"/>
      <c r="C27" s="86">
        <f>SUM(C17:C20,C23:C26)</f>
        <v>0</v>
      </c>
      <c r="D27" s="175">
        <f t="shared" ref="D27:J27" si="7">SUM(D17:D26)</f>
        <v>16467.718493545955</v>
      </c>
      <c r="E27" s="194">
        <f t="shared" si="7"/>
        <v>18843.169300199996</v>
      </c>
      <c r="F27" s="175">
        <f t="shared" si="7"/>
        <v>18155.823742200002</v>
      </c>
      <c r="G27" s="175">
        <f t="shared" si="7"/>
        <v>16029.287868899997</v>
      </c>
      <c r="H27" s="175">
        <f t="shared" si="7"/>
        <v>1101.3599999999999</v>
      </c>
      <c r="I27" s="175">
        <f t="shared" si="7"/>
        <v>14453.186943600002</v>
      </c>
      <c r="J27" s="175">
        <f t="shared" si="7"/>
        <v>1101.3599999999999</v>
      </c>
      <c r="K27" s="175">
        <f>SUM(K17:K26)</f>
        <v>1516.3200000000002</v>
      </c>
      <c r="L27" s="175">
        <f>SUM(L17:L26)</f>
        <v>7315.8608249999997</v>
      </c>
      <c r="M27" s="194">
        <f>SUM(M17:M26)</f>
        <v>19898.754517200006</v>
      </c>
      <c r="N27" s="180">
        <f>SUM(N21:N26)</f>
        <v>114882.84169064595</v>
      </c>
      <c r="P27" s="143"/>
    </row>
    <row r="28" spans="1:16">
      <c r="B28" s="29"/>
      <c r="C28" s="86"/>
      <c r="D28" s="175"/>
      <c r="E28" s="194"/>
      <c r="F28" s="175"/>
      <c r="G28" s="175"/>
      <c r="H28" s="175"/>
      <c r="I28" s="175"/>
      <c r="J28" s="175"/>
      <c r="K28" s="194"/>
      <c r="L28" s="175"/>
      <c r="M28" s="194"/>
      <c r="N28" s="180"/>
      <c r="P28" s="143"/>
    </row>
    <row r="29" spans="1:16" ht="11" thickBot="1">
      <c r="A29" s="31" t="s">
        <v>294</v>
      </c>
      <c r="B29" s="29"/>
      <c r="C29" s="65">
        <f>C22+SUM(C23:C26)</f>
        <v>0</v>
      </c>
      <c r="D29" s="202">
        <f>D27+D12</f>
        <v>167824.86176865644</v>
      </c>
      <c r="E29" s="203">
        <f t="shared" ref="E29:L29" si="8">E27+E12</f>
        <v>119435.02030019999</v>
      </c>
      <c r="F29" s="202">
        <f t="shared" si="8"/>
        <v>79865.823742200009</v>
      </c>
      <c r="G29" s="202">
        <f t="shared" si="8"/>
        <v>63786.88786889999</v>
      </c>
      <c r="H29" s="202">
        <f t="shared" si="8"/>
        <v>11501.36</v>
      </c>
      <c r="I29" s="202">
        <f t="shared" si="8"/>
        <v>76427.711943599992</v>
      </c>
      <c r="J29" s="202">
        <f t="shared" si="8"/>
        <v>11501.36</v>
      </c>
      <c r="K29" s="202">
        <f t="shared" si="8"/>
        <v>10876.32</v>
      </c>
      <c r="L29" s="202">
        <f t="shared" si="8"/>
        <v>85130.57332499999</v>
      </c>
      <c r="M29" s="202">
        <f>M27+M12</f>
        <v>42180.107017200004</v>
      </c>
      <c r="N29" s="209">
        <f>N27+N12+N14+N15</f>
        <v>668530.0259657565</v>
      </c>
      <c r="O29" s="122">
        <f>SUM(C29:M29)</f>
        <v>668530.02596575627</v>
      </c>
      <c r="P29" s="143"/>
    </row>
    <row r="30" spans="1:16" ht="14" thickTop="1">
      <c r="A30" s="23"/>
      <c r="B30" s="168"/>
      <c r="C30" s="28"/>
      <c r="D30" s="183" t="s">
        <v>99</v>
      </c>
      <c r="E30" s="28"/>
      <c r="F30" s="26"/>
      <c r="G30" s="26"/>
      <c r="H30" s="26"/>
      <c r="I30"/>
      <c r="J30" s="26" t="s">
        <v>143</v>
      </c>
      <c r="K30" s="28" t="s">
        <v>142</v>
      </c>
      <c r="L30" s="26"/>
      <c r="M30" s="26"/>
      <c r="P30" s="180"/>
    </row>
    <row r="31" spans="1:16">
      <c r="A31" s="27" t="s">
        <v>295</v>
      </c>
      <c r="B31" s="34"/>
      <c r="C31" s="75">
        <f>B31*$B$30</f>
        <v>0</v>
      </c>
      <c r="D31" s="185">
        <v>75400</v>
      </c>
      <c r="E31" s="185">
        <v>68482</v>
      </c>
      <c r="F31" s="186">
        <v>56100</v>
      </c>
      <c r="G31" s="186">
        <v>43200</v>
      </c>
      <c r="H31" s="186">
        <v>16320</v>
      </c>
      <c r="I31" s="186">
        <v>53550</v>
      </c>
      <c r="J31" s="186">
        <f>20*10*52</f>
        <v>10400</v>
      </c>
      <c r="K31" s="185">
        <f>15*12*52</f>
        <v>9360</v>
      </c>
      <c r="L31" s="186">
        <v>67675</v>
      </c>
      <c r="M31" s="186">
        <v>20155</v>
      </c>
      <c r="N31" s="187">
        <f>SUM(C31:M31)</f>
        <v>420642</v>
      </c>
      <c r="P31" s="180"/>
    </row>
    <row r="32" spans="1:16">
      <c r="A32" s="27" t="s">
        <v>296</v>
      </c>
      <c r="B32" s="34"/>
      <c r="C32" s="75">
        <f>B32*$B$30</f>
        <v>0</v>
      </c>
      <c r="D32" s="185">
        <v>54600</v>
      </c>
      <c r="E32" s="185">
        <v>20000</v>
      </c>
      <c r="F32" s="185">
        <v>0</v>
      </c>
      <c r="G32" s="185">
        <v>0</v>
      </c>
      <c r="H32" s="185">
        <v>0</v>
      </c>
      <c r="I32" s="185">
        <v>0</v>
      </c>
      <c r="J32" s="186"/>
      <c r="K32" s="185"/>
      <c r="L32" s="185">
        <v>0</v>
      </c>
      <c r="M32" s="185"/>
      <c r="N32" s="187">
        <f>SUM(C32:M32)</f>
        <v>74600</v>
      </c>
      <c r="P32" s="25"/>
    </row>
    <row r="33" spans="1:17">
      <c r="A33" s="27" t="s">
        <v>297</v>
      </c>
      <c r="B33" s="34"/>
      <c r="C33" s="75">
        <f>B33*$B$30</f>
        <v>0</v>
      </c>
      <c r="D33" s="185">
        <v>13000</v>
      </c>
      <c r="E33" s="185">
        <v>2133</v>
      </c>
      <c r="F33" s="185"/>
      <c r="G33" s="185">
        <v>0</v>
      </c>
      <c r="H33" s="185">
        <v>0</v>
      </c>
      <c r="I33" s="185">
        <v>2550</v>
      </c>
      <c r="J33" s="186"/>
      <c r="K33" s="185"/>
      <c r="L33" s="188">
        <v>3000</v>
      </c>
      <c r="M33" s="185"/>
      <c r="N33" s="187">
        <f>SUM(C33:M33)</f>
        <v>20683</v>
      </c>
      <c r="O33" s="176" t="s">
        <v>120</v>
      </c>
      <c r="P33" s="25"/>
    </row>
    <row r="34" spans="1:17">
      <c r="A34" s="27" t="s">
        <v>317</v>
      </c>
      <c r="B34" s="34"/>
      <c r="C34" s="75">
        <f>B34*$B$30</f>
        <v>0</v>
      </c>
      <c r="D34" s="189">
        <f>SUM(D31+D32)*$B$69</f>
        <v>13000</v>
      </c>
      <c r="E34" s="189">
        <f>SUM(E31+E32)*$B$69</f>
        <v>8848.2000000000007</v>
      </c>
      <c r="F34" s="189">
        <f t="shared" ref="F34:M34" si="9">SUM(F31+F32)*$B$69</f>
        <v>5610</v>
      </c>
      <c r="G34" s="189">
        <f t="shared" si="9"/>
        <v>4320</v>
      </c>
      <c r="H34" s="189">
        <v>0</v>
      </c>
      <c r="I34" s="189">
        <f t="shared" si="9"/>
        <v>5355</v>
      </c>
      <c r="J34" s="189"/>
      <c r="K34" s="189"/>
      <c r="L34" s="189">
        <f t="shared" si="9"/>
        <v>6767.5</v>
      </c>
      <c r="M34" s="189">
        <f t="shared" si="9"/>
        <v>2015.5</v>
      </c>
      <c r="N34" s="187">
        <f>SUM(C34:M34)</f>
        <v>45916.2</v>
      </c>
      <c r="P34" s="25"/>
    </row>
    <row r="35" spans="1:17">
      <c r="A35" s="35"/>
      <c r="B35" s="34"/>
      <c r="C35" s="75"/>
      <c r="D35" s="185"/>
      <c r="E35" s="186"/>
      <c r="F35" s="186"/>
      <c r="G35" s="186"/>
      <c r="H35" s="186"/>
      <c r="I35" s="186"/>
      <c r="J35" s="186"/>
      <c r="K35" s="185"/>
      <c r="L35" s="186"/>
      <c r="M35" s="186"/>
      <c r="N35" s="186"/>
    </row>
    <row r="36" spans="1:17">
      <c r="B36" s="27"/>
      <c r="C36" s="75"/>
      <c r="D36" s="185"/>
      <c r="E36" s="186"/>
      <c r="F36" s="186"/>
      <c r="G36" s="186"/>
      <c r="H36" s="186"/>
      <c r="I36" s="186"/>
      <c r="J36" s="186"/>
      <c r="K36" s="185"/>
      <c r="L36" s="186"/>
      <c r="M36" s="186"/>
      <c r="N36" s="186"/>
      <c r="P36" s="36"/>
    </row>
    <row r="37" spans="1:17">
      <c r="A37" s="20" t="s">
        <v>319</v>
      </c>
      <c r="D37" s="186">
        <f>SUM(D31:D36)</f>
        <v>156000</v>
      </c>
      <c r="E37" s="186">
        <f>SUM(E31:E36)</f>
        <v>99463.2</v>
      </c>
      <c r="F37" s="186">
        <f t="shared" ref="F37:N37" si="10">SUM(F31:F36)</f>
        <v>61710</v>
      </c>
      <c r="G37" s="186">
        <f t="shared" si="10"/>
        <v>47520</v>
      </c>
      <c r="H37" s="186">
        <f t="shared" si="10"/>
        <v>16320</v>
      </c>
      <c r="I37" s="186">
        <f t="shared" si="10"/>
        <v>61455</v>
      </c>
      <c r="J37" s="186">
        <f t="shared" si="10"/>
        <v>10400</v>
      </c>
      <c r="K37" s="186">
        <f t="shared" si="10"/>
        <v>9360</v>
      </c>
      <c r="L37" s="186">
        <f t="shared" si="10"/>
        <v>77442.5</v>
      </c>
      <c r="M37" s="186">
        <f t="shared" si="10"/>
        <v>22170.5</v>
      </c>
      <c r="N37" s="186">
        <f t="shared" si="10"/>
        <v>561841.19999999995</v>
      </c>
      <c r="O37" s="184"/>
      <c r="P37" s="32"/>
    </row>
    <row r="38" spans="1:17">
      <c r="A38" s="27" t="s">
        <v>298</v>
      </c>
      <c r="B38" s="27"/>
      <c r="C38" s="27">
        <v>1</v>
      </c>
      <c r="D38" s="34">
        <v>1</v>
      </c>
      <c r="E38" s="34">
        <v>1</v>
      </c>
      <c r="F38" s="27">
        <v>1</v>
      </c>
      <c r="G38" s="27">
        <v>1</v>
      </c>
      <c r="H38" s="27">
        <v>1</v>
      </c>
      <c r="I38" s="27">
        <v>1</v>
      </c>
      <c r="J38" s="27">
        <v>1</v>
      </c>
      <c r="K38" s="34">
        <v>1</v>
      </c>
      <c r="L38" s="27">
        <v>1</v>
      </c>
      <c r="M38" s="27">
        <v>1</v>
      </c>
      <c r="N38" s="27"/>
      <c r="P38" s="56"/>
    </row>
    <row r="39" spans="1:17">
      <c r="A39" s="27" t="s">
        <v>316</v>
      </c>
      <c r="B39" s="27"/>
      <c r="C39" s="62">
        <f>(C21-C31)+(C77*B70)</f>
        <v>0</v>
      </c>
      <c r="D39" s="75"/>
      <c r="E39" s="62">
        <f>(E12-E37)+(E75*$B$70)</f>
        <v>1128.650999999998</v>
      </c>
      <c r="F39" s="62"/>
      <c r="G39" s="62">
        <f>G31*$B$53*(1+$B$71)</f>
        <v>254.12399999999997</v>
      </c>
      <c r="H39" s="62">
        <f>H31*$B$53</f>
        <v>81.600000000000009</v>
      </c>
      <c r="I39" s="62">
        <f>(I12-I37)+(I75*$B$70)</f>
        <v>519.52499999999418</v>
      </c>
      <c r="J39" s="62"/>
      <c r="K39" s="75"/>
      <c r="L39" s="62">
        <f>L31*$B$53*(1+$B$71)</f>
        <v>398.09818749999994</v>
      </c>
      <c r="M39" s="62">
        <f>M31*$B$53*(1+$B$71)</f>
        <v>118.56178749999999</v>
      </c>
      <c r="N39" s="205">
        <f>SUM(C39:M39)</f>
        <v>2500.5599749999919</v>
      </c>
      <c r="Q39" s="36"/>
    </row>
    <row r="40" spans="1:17">
      <c r="A40" s="20" t="s">
        <v>254</v>
      </c>
      <c r="E40" s="62"/>
      <c r="H40" s="20">
        <f>H12/H41</f>
        <v>27733.333333333332</v>
      </c>
      <c r="I40" s="62"/>
      <c r="J40" s="25"/>
      <c r="K40" s="77"/>
      <c r="L40" s="25"/>
      <c r="M40" s="25">
        <f>M12/M41</f>
        <v>44562.704999999994</v>
      </c>
    </row>
    <row r="41" spans="1:17">
      <c r="E41" s="37" t="s">
        <v>255</v>
      </c>
      <c r="F41" s="37" t="s">
        <v>255</v>
      </c>
      <c r="G41" s="37" t="s">
        <v>255</v>
      </c>
      <c r="H41" s="20">
        <v>0.375</v>
      </c>
      <c r="I41" s="37" t="s">
        <v>255</v>
      </c>
      <c r="L41" s="37" t="s">
        <v>255</v>
      </c>
      <c r="M41" s="20">
        <v>0.5</v>
      </c>
    </row>
    <row r="42" spans="1:17">
      <c r="A42" s="20" t="s">
        <v>256</v>
      </c>
      <c r="B42" s="37"/>
      <c r="C42" s="37"/>
      <c r="N42" s="37"/>
      <c r="O42" s="31"/>
    </row>
    <row r="43" spans="1:17">
      <c r="A43" s="23" t="s">
        <v>257</v>
      </c>
      <c r="B43" s="20">
        <v>1</v>
      </c>
    </row>
    <row r="44" spans="1:17" hidden="1">
      <c r="A44" s="23" t="e">
        <f>+#REF!</f>
        <v>#REF!</v>
      </c>
      <c r="B44" s="25" t="e">
        <f>+#REF!</f>
        <v>#REF!</v>
      </c>
      <c r="N44" s="25"/>
      <c r="O44" s="25"/>
      <c r="P44" s="25" t="e">
        <f>SUM(B44:M44)</f>
        <v>#REF!</v>
      </c>
    </row>
    <row r="45" spans="1:17" hidden="1">
      <c r="A45" s="23" t="e">
        <f>+#REF!</f>
        <v>#REF!</v>
      </c>
      <c r="B45" s="25" t="e">
        <f>+#REF!</f>
        <v>#REF!</v>
      </c>
      <c r="N45" s="25"/>
      <c r="O45" s="25"/>
      <c r="P45" s="25" t="e">
        <f>SUM(B45:M45)</f>
        <v>#REF!</v>
      </c>
    </row>
    <row r="46" spans="1:17" hidden="1">
      <c r="A46" s="23" t="e">
        <f>+#REF!</f>
        <v>#REF!</v>
      </c>
      <c r="B46" s="25" t="e">
        <f>+#REF!</f>
        <v>#REF!</v>
      </c>
      <c r="N46" s="25"/>
      <c r="O46" s="25"/>
      <c r="P46" s="25" t="e">
        <f>SUM(B46:M46)</f>
        <v>#REF!</v>
      </c>
    </row>
    <row r="47" spans="1:17" hidden="1">
      <c r="A47" s="23" t="e">
        <f>+#REF!</f>
        <v>#REF!</v>
      </c>
      <c r="B47" s="25" t="e">
        <f>+#REF!</f>
        <v>#REF!</v>
      </c>
      <c r="N47" s="25"/>
      <c r="O47" s="25"/>
      <c r="P47" s="25" t="e">
        <f>SUM(B47:M47)</f>
        <v>#REF!</v>
      </c>
    </row>
    <row r="48" spans="1:17">
      <c r="A48" s="23" t="s">
        <v>262</v>
      </c>
      <c r="B48" s="20">
        <v>0.5</v>
      </c>
    </row>
    <row r="49" spans="1:16">
      <c r="A49" s="27" t="s">
        <v>140</v>
      </c>
    </row>
    <row r="50" spans="1:16" ht="13">
      <c r="A50" s="20" t="s">
        <v>138</v>
      </c>
      <c r="B50" s="20">
        <v>0.91666999999999998</v>
      </c>
      <c r="H50" s="20">
        <v>1402.5</v>
      </c>
      <c r="K50" s="12"/>
      <c r="L50" s="19" t="s">
        <v>209</v>
      </c>
      <c r="M50" s="135">
        <f>B53</f>
        <v>5.0000000000000001E-3</v>
      </c>
      <c r="N50" s="19" t="s">
        <v>197</v>
      </c>
      <c r="O50"/>
      <c r="P50"/>
    </row>
    <row r="51" spans="1:16" ht="13">
      <c r="A51" s="23" t="s">
        <v>137</v>
      </c>
      <c r="B51" s="20">
        <v>1</v>
      </c>
      <c r="K51" s="12"/>
      <c r="L51" s="20" t="s">
        <v>195</v>
      </c>
      <c r="N51" s="180">
        <f>N29</f>
        <v>668530.0259657565</v>
      </c>
      <c r="O51"/>
      <c r="P51"/>
    </row>
    <row r="52" spans="1:16" ht="13">
      <c r="A52" s="23" t="s">
        <v>263</v>
      </c>
      <c r="B52" s="20">
        <v>0.67</v>
      </c>
      <c r="K52" s="12"/>
      <c r="L52" s="20" t="s">
        <v>93</v>
      </c>
      <c r="N52" s="180">
        <v>662118</v>
      </c>
      <c r="O52"/>
      <c r="P52"/>
    </row>
    <row r="53" spans="1:16" ht="13">
      <c r="A53" s="215" t="s">
        <v>139</v>
      </c>
      <c r="B53" s="216">
        <v>5.0000000000000001E-3</v>
      </c>
      <c r="K53" s="12"/>
      <c r="L53" s="20" t="s">
        <v>196</v>
      </c>
      <c r="N53" s="190">
        <f>N51-N52</f>
        <v>6412.0259657565039</v>
      </c>
      <c r="O53"/>
      <c r="P53"/>
    </row>
    <row r="54" spans="1:16">
      <c r="A54" s="23" t="s">
        <v>345</v>
      </c>
      <c r="B54" s="39">
        <v>0.1</v>
      </c>
      <c r="N54" s="180"/>
    </row>
    <row r="55" spans="1:16">
      <c r="A55" s="23" t="s">
        <v>80</v>
      </c>
      <c r="B55" s="39">
        <v>0</v>
      </c>
      <c r="N55" s="180"/>
    </row>
    <row r="56" spans="1:16">
      <c r="A56" s="23" t="s">
        <v>302</v>
      </c>
      <c r="B56" s="39">
        <v>0</v>
      </c>
      <c r="E56" s="25"/>
      <c r="F56" s="25"/>
      <c r="G56" s="25"/>
      <c r="H56" s="25"/>
      <c r="I56" s="25"/>
      <c r="J56" s="25"/>
      <c r="K56" s="77"/>
      <c r="N56" s="180"/>
    </row>
    <row r="57" spans="1:16">
      <c r="A57" s="20" t="s">
        <v>229</v>
      </c>
      <c r="B57" s="39">
        <v>0.8</v>
      </c>
      <c r="E57" s="25"/>
      <c r="F57" s="25"/>
      <c r="G57" s="25"/>
      <c r="H57" s="25"/>
      <c r="I57" s="25"/>
      <c r="J57" s="25"/>
      <c r="K57" s="77"/>
      <c r="N57" s="180"/>
    </row>
    <row r="58" spans="1:16">
      <c r="A58" s="20" t="s">
        <v>230</v>
      </c>
      <c r="B58" s="39">
        <v>0.5</v>
      </c>
      <c r="E58" s="41"/>
      <c r="F58" s="41"/>
      <c r="G58" s="41"/>
      <c r="H58" s="25"/>
      <c r="I58" s="41"/>
      <c r="J58" s="41"/>
      <c r="K58" s="77"/>
      <c r="L58" s="20" t="s">
        <v>206</v>
      </c>
      <c r="N58" s="205">
        <v>10920</v>
      </c>
    </row>
    <row r="59" spans="1:16">
      <c r="A59" s="23" t="s">
        <v>111</v>
      </c>
      <c r="B59" s="175">
        <v>117000</v>
      </c>
      <c r="D59" s="78"/>
      <c r="E59" s="25"/>
      <c r="F59" s="25"/>
      <c r="G59" s="25"/>
      <c r="H59" s="25"/>
      <c r="I59" s="25"/>
      <c r="J59" s="25"/>
      <c r="K59" s="77"/>
      <c r="L59" s="25" t="s">
        <v>208</v>
      </c>
      <c r="M59" s="25"/>
      <c r="N59" s="205">
        <f>N58*(1+B53)</f>
        <v>10974.599999999999</v>
      </c>
    </row>
    <row r="60" spans="1:16">
      <c r="A60" s="23" t="s">
        <v>112</v>
      </c>
      <c r="B60" s="42">
        <v>6.2E-2</v>
      </c>
      <c r="D60" s="28"/>
      <c r="E60" s="25"/>
      <c r="F60" s="25"/>
      <c r="G60" s="25"/>
      <c r="H60" s="25"/>
      <c r="I60" s="25"/>
      <c r="J60" s="25"/>
      <c r="K60" s="77"/>
      <c r="L60" s="25" t="s">
        <v>196</v>
      </c>
      <c r="M60" s="25"/>
      <c r="N60" s="208">
        <f>N59-N58</f>
        <v>54.599999999998545</v>
      </c>
    </row>
    <row r="61" spans="1:16">
      <c r="A61" s="23" t="s">
        <v>106</v>
      </c>
      <c r="B61" s="42">
        <v>1.4500000000000001E-2</v>
      </c>
      <c r="E61" s="25"/>
      <c r="F61" s="25"/>
      <c r="G61" s="25"/>
      <c r="H61" s="25"/>
      <c r="I61" s="25"/>
      <c r="J61" s="25"/>
      <c r="K61" s="77"/>
      <c r="L61" s="25" t="s">
        <v>207</v>
      </c>
      <c r="M61" s="25"/>
      <c r="N61" s="190">
        <f>N53+N60</f>
        <v>6466.6259657565024</v>
      </c>
    </row>
    <row r="62" spans="1:16">
      <c r="A62" s="23" t="s">
        <v>113</v>
      </c>
      <c r="B62" s="175">
        <f>B59*B60</f>
        <v>7254</v>
      </c>
      <c r="D62" s="51"/>
      <c r="E62" s="25"/>
      <c r="F62" s="25"/>
      <c r="G62" s="25"/>
      <c r="H62" s="25"/>
      <c r="I62" s="25"/>
      <c r="J62" s="25"/>
      <c r="K62" s="77"/>
      <c r="L62" s="25"/>
      <c r="M62" s="25"/>
      <c r="N62" s="180"/>
    </row>
    <row r="63" spans="1:16">
      <c r="A63" s="23" t="s">
        <v>231</v>
      </c>
      <c r="B63" s="42">
        <v>2.2100000000000002E-2</v>
      </c>
      <c r="E63" s="45"/>
      <c r="F63" s="45"/>
      <c r="G63" s="45"/>
      <c r="H63" s="45"/>
      <c r="I63" s="45"/>
      <c r="J63" s="45"/>
      <c r="K63" s="79"/>
      <c r="L63" s="144"/>
      <c r="M63" s="45"/>
      <c r="N63" s="210"/>
    </row>
    <row r="64" spans="1:16">
      <c r="A64" s="23" t="s">
        <v>95</v>
      </c>
      <c r="B64" s="175">
        <v>15000</v>
      </c>
      <c r="L64" s="39"/>
      <c r="N64" s="180"/>
    </row>
    <row r="65" spans="1:17">
      <c r="A65" s="23" t="s">
        <v>232</v>
      </c>
      <c r="B65" s="88">
        <f>B64*B63</f>
        <v>331.5</v>
      </c>
      <c r="E65" s="32"/>
      <c r="F65" s="32"/>
      <c r="G65" s="32"/>
      <c r="H65" s="32"/>
      <c r="I65" s="32"/>
      <c r="J65" s="32"/>
      <c r="L65" s="32"/>
      <c r="M65" s="32"/>
      <c r="N65" s="205"/>
    </row>
    <row r="66" spans="1:17">
      <c r="A66" s="23" t="s">
        <v>233</v>
      </c>
      <c r="B66" s="26">
        <f>B64*B63</f>
        <v>331.5</v>
      </c>
      <c r="E66" s="25"/>
      <c r="F66" s="25"/>
      <c r="G66" s="25"/>
      <c r="H66" s="25"/>
      <c r="I66" s="25"/>
      <c r="J66" s="25"/>
      <c r="K66" s="77"/>
      <c r="L66" s="25"/>
      <c r="M66" s="25"/>
      <c r="N66" s="180"/>
    </row>
    <row r="67" spans="1:17">
      <c r="A67" s="23" t="s">
        <v>144</v>
      </c>
      <c r="B67" s="217">
        <v>0.73</v>
      </c>
      <c r="N67" s="180"/>
    </row>
    <row r="68" spans="1:17">
      <c r="A68" s="23" t="s">
        <v>145</v>
      </c>
      <c r="B68" s="217">
        <v>6.34</v>
      </c>
      <c r="N68" s="180"/>
    </row>
    <row r="69" spans="1:17">
      <c r="A69" s="23" t="s">
        <v>234</v>
      </c>
      <c r="B69" s="38">
        <v>0.1</v>
      </c>
      <c r="N69" s="180"/>
    </row>
    <row r="70" spans="1:17">
      <c r="A70" s="23" t="s">
        <v>114</v>
      </c>
      <c r="B70" s="66">
        <v>7.6499999999999999E-2</v>
      </c>
      <c r="N70" s="180"/>
    </row>
    <row r="71" spans="1:17">
      <c r="A71" s="23" t="s">
        <v>115</v>
      </c>
      <c r="B71" s="38">
        <f>B60+B61+B69</f>
        <v>0.17649999999999999</v>
      </c>
      <c r="E71" s="36">
        <f>E106</f>
        <v>2982.4452000000001</v>
      </c>
      <c r="F71" s="36">
        <f>F106</f>
        <v>2982.4452000000001</v>
      </c>
      <c r="G71" s="36">
        <f>G106</f>
        <v>3541.2174000000009</v>
      </c>
      <c r="H71" s="36">
        <f>H106</f>
        <v>0</v>
      </c>
      <c r="I71" s="36">
        <f>I106</f>
        <v>2061.0575999999992</v>
      </c>
      <c r="J71" s="36"/>
      <c r="K71" s="80">
        <f>K106</f>
        <v>0</v>
      </c>
      <c r="L71" s="36">
        <f>L106</f>
        <v>0</v>
      </c>
      <c r="M71" s="36">
        <f>M106</f>
        <v>8530.2252000000008</v>
      </c>
      <c r="N71" s="205">
        <f>SUM(C71:M71)</f>
        <v>20097.390600000002</v>
      </c>
    </row>
    <row r="72" spans="1:17">
      <c r="A72" s="46" t="s">
        <v>279</v>
      </c>
      <c r="E72" s="32">
        <f>E132</f>
        <v>0</v>
      </c>
      <c r="F72" s="32">
        <f>F132</f>
        <v>0</v>
      </c>
      <c r="G72" s="32">
        <f>G132</f>
        <v>852</v>
      </c>
      <c r="H72" s="32">
        <f>H132</f>
        <v>0</v>
      </c>
      <c r="I72" s="32">
        <f>I132</f>
        <v>0</v>
      </c>
      <c r="J72" s="32"/>
      <c r="K72" s="81">
        <f>K132</f>
        <v>0</v>
      </c>
      <c r="L72" s="32">
        <f>L132</f>
        <v>0</v>
      </c>
      <c r="M72" s="32">
        <f>M132</f>
        <v>852</v>
      </c>
      <c r="N72" s="205">
        <f>SUM(C72:M72)</f>
        <v>1704</v>
      </c>
    </row>
    <row r="73" spans="1:17" ht="13">
      <c r="A73" s="20" t="s">
        <v>280</v>
      </c>
      <c r="D73" s="36">
        <f>D108</f>
        <v>6234.0390000000007</v>
      </c>
      <c r="E73"/>
      <c r="F73"/>
      <c r="G73"/>
      <c r="H73"/>
      <c r="I73"/>
      <c r="J73"/>
      <c r="K73"/>
      <c r="L73"/>
      <c r="M73"/>
      <c r="N73" s="61"/>
    </row>
    <row r="74" spans="1:17" ht="11.25" customHeight="1">
      <c r="A74" s="40" t="s">
        <v>281</v>
      </c>
      <c r="D74" s="32">
        <f>D134</f>
        <v>0</v>
      </c>
      <c r="E74" s="36">
        <f>SUM(E71:E73)</f>
        <v>2982.4452000000001</v>
      </c>
      <c r="F74" s="36">
        <f t="shared" ref="F74:M74" si="11">SUM(F71:F73)</f>
        <v>2982.4452000000001</v>
      </c>
      <c r="G74" s="36">
        <f t="shared" si="11"/>
        <v>4393.2174000000014</v>
      </c>
      <c r="H74" s="36">
        <f t="shared" si="11"/>
        <v>0</v>
      </c>
      <c r="I74" s="36">
        <f t="shared" si="11"/>
        <v>2061.0575999999992</v>
      </c>
      <c r="J74" s="36"/>
      <c r="K74" s="80">
        <f t="shared" si="11"/>
        <v>0</v>
      </c>
      <c r="L74" s="36">
        <f t="shared" si="11"/>
        <v>0</v>
      </c>
      <c r="M74" s="36">
        <f t="shared" si="11"/>
        <v>9382.2252000000008</v>
      </c>
      <c r="N74" s="205">
        <f>SUM(C74:M74)</f>
        <v>21801.390600000002</v>
      </c>
    </row>
    <row r="75" spans="1:17" ht="13">
      <c r="A75" s="40" t="s">
        <v>107</v>
      </c>
      <c r="C75"/>
      <c r="D75"/>
      <c r="E75" s="80"/>
      <c r="I75" s="24"/>
      <c r="O75" s="48"/>
      <c r="P75" s="48"/>
    </row>
    <row r="76" spans="1:17">
      <c r="A76" s="47" t="s">
        <v>346</v>
      </c>
      <c r="C76" s="95"/>
      <c r="D76" s="36">
        <f>SUM(D73:D75)+C97+C126</f>
        <v>6234.0390000000007</v>
      </c>
      <c r="E76" s="36">
        <f>E6</f>
        <v>53924.409999999989</v>
      </c>
      <c r="O76" s="48"/>
      <c r="P76" s="48"/>
    </row>
    <row r="77" spans="1:17">
      <c r="A77" s="20" t="s">
        <v>318</v>
      </c>
      <c r="C77" s="77"/>
      <c r="O77" s="48"/>
      <c r="P77" s="48"/>
    </row>
    <row r="78" spans="1:17">
      <c r="A78" s="49" t="s">
        <v>347</v>
      </c>
      <c r="C78" s="25"/>
      <c r="D78" s="25">
        <f>D6</f>
        <v>69116.918000000005</v>
      </c>
      <c r="O78" s="48"/>
      <c r="P78" s="48"/>
    </row>
    <row r="79" spans="1:17">
      <c r="A79" s="44" t="s">
        <v>348</v>
      </c>
      <c r="E79" s="25"/>
      <c r="F79" s="25"/>
      <c r="G79" s="25"/>
      <c r="H79" s="25"/>
      <c r="I79" s="25"/>
      <c r="J79" s="25"/>
      <c r="K79" s="77"/>
      <c r="L79" s="25"/>
      <c r="M79" s="25"/>
      <c r="N79" s="25"/>
      <c r="O79" s="48"/>
      <c r="P79" s="48"/>
    </row>
    <row r="80" spans="1:17" ht="13">
      <c r="A80" s="49" t="s">
        <v>108</v>
      </c>
      <c r="D80" s="81"/>
      <c r="E80" s="20" t="s">
        <v>190</v>
      </c>
      <c r="F80" s="181" t="s">
        <v>117</v>
      </c>
      <c r="G80" s="20" t="s">
        <v>74</v>
      </c>
      <c r="H80" s="50"/>
      <c r="I80" s="78" t="s">
        <v>73</v>
      </c>
      <c r="J80" s="51"/>
      <c r="M80" s="282" t="s">
        <v>191</v>
      </c>
      <c r="N80" s="283"/>
      <c r="O80" s="52"/>
      <c r="Q80" s="53"/>
    </row>
    <row r="81" spans="1:17" ht="13">
      <c r="A81" s="49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3">
      <c r="A82" s="19" t="s">
        <v>349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3">
      <c r="A83" s="19" t="s">
        <v>226</v>
      </c>
      <c r="C83"/>
      <c r="D83"/>
      <c r="E83" s="36">
        <v>1183.51</v>
      </c>
      <c r="F83" s="80">
        <v>1183.51</v>
      </c>
      <c r="G83" s="80">
        <v>677.47</v>
      </c>
      <c r="H83" s="36"/>
      <c r="I83" s="80">
        <v>817.88</v>
      </c>
      <c r="J83" s="36"/>
      <c r="K83" s="80"/>
      <c r="L83" s="36">
        <v>0</v>
      </c>
      <c r="M83" s="36">
        <v>1183.51</v>
      </c>
      <c r="N83" s="205">
        <f t="shared" ref="N83:N88" si="12">SUM(C83:M83)</f>
        <v>5045.88</v>
      </c>
      <c r="O83" s="54"/>
    </row>
    <row r="84" spans="1:17" ht="13">
      <c r="A84" s="19" t="s">
        <v>102</v>
      </c>
      <c r="C84"/>
      <c r="D84"/>
      <c r="E84" s="36">
        <f>E85-E83</f>
        <v>0</v>
      </c>
      <c r="F84" s="80">
        <f>F85-F83</f>
        <v>0</v>
      </c>
      <c r="G84" s="80">
        <v>291.11</v>
      </c>
      <c r="H84" s="36"/>
      <c r="I84" s="80">
        <f>I85-I83</f>
        <v>0</v>
      </c>
      <c r="J84" s="36"/>
      <c r="K84" s="80"/>
      <c r="L84" s="36"/>
      <c r="M84" s="36">
        <f>M85-M83</f>
        <v>880.60000000000014</v>
      </c>
      <c r="N84" s="205">
        <f t="shared" si="12"/>
        <v>1171.71</v>
      </c>
      <c r="O84" s="54"/>
    </row>
    <row r="85" spans="1:17">
      <c r="A85" s="20" t="s">
        <v>264</v>
      </c>
      <c r="D85" s="80">
        <v>876.85</v>
      </c>
      <c r="E85" s="80">
        <v>1183.51</v>
      </c>
      <c r="F85" s="80">
        <v>1183.51</v>
      </c>
      <c r="G85" s="80">
        <f>SUM(G83:G84)</f>
        <v>968.58</v>
      </c>
      <c r="H85" s="80"/>
      <c r="I85" s="80">
        <v>817.88</v>
      </c>
      <c r="J85" s="80"/>
      <c r="K85" s="80"/>
      <c r="L85" s="80">
        <v>0</v>
      </c>
      <c r="M85" s="80">
        <v>2064.11</v>
      </c>
      <c r="N85" s="205">
        <f t="shared" si="12"/>
        <v>7094.4400000000005</v>
      </c>
      <c r="O85" s="54"/>
    </row>
    <row r="86" spans="1:17">
      <c r="A86" s="20" t="s">
        <v>265</v>
      </c>
      <c r="D86" s="80">
        <v>638.79</v>
      </c>
      <c r="E86" s="36">
        <f>E85*12</f>
        <v>14202.119999999999</v>
      </c>
      <c r="F86" s="36">
        <f>F85*12</f>
        <v>14202.119999999999</v>
      </c>
      <c r="G86" s="36">
        <f>G85*12</f>
        <v>11622.960000000001</v>
      </c>
      <c r="H86" s="36"/>
      <c r="I86" s="36">
        <f>I85*12</f>
        <v>9814.56</v>
      </c>
      <c r="J86" s="36"/>
      <c r="K86" s="80"/>
      <c r="L86" s="36"/>
      <c r="M86" s="36">
        <f>M85*12</f>
        <v>24769.32</v>
      </c>
      <c r="N86" s="205">
        <f t="shared" si="12"/>
        <v>75249.87</v>
      </c>
      <c r="O86" s="54"/>
    </row>
    <row r="87" spans="1:17">
      <c r="A87" s="19" t="s">
        <v>266</v>
      </c>
      <c r="D87" s="80">
        <f>SUM(D85:D86)</f>
        <v>1515.6399999999999</v>
      </c>
      <c r="E87" s="36">
        <f>E85*6</f>
        <v>7101.0599999999995</v>
      </c>
      <c r="F87" s="36">
        <f>F85*6</f>
        <v>7101.0599999999995</v>
      </c>
      <c r="G87" s="36">
        <f>G85*6</f>
        <v>5811.4800000000005</v>
      </c>
      <c r="H87" s="36"/>
      <c r="I87" s="36">
        <f>I85*6</f>
        <v>4907.28</v>
      </c>
      <c r="J87" s="36"/>
      <c r="K87" s="80"/>
      <c r="L87" s="36"/>
      <c r="M87" s="36">
        <f>M85*6</f>
        <v>12384.66</v>
      </c>
      <c r="N87" s="205">
        <f t="shared" si="12"/>
        <v>38821.179999999993</v>
      </c>
      <c r="O87" s="54"/>
    </row>
    <row r="88" spans="1:17">
      <c r="A88" s="20" t="s">
        <v>267</v>
      </c>
      <c r="D88" s="36">
        <f>D87*12</f>
        <v>18187.68</v>
      </c>
      <c r="E88" s="36">
        <f>E87*(1+$B$54)</f>
        <v>7811.1660000000002</v>
      </c>
      <c r="F88" s="36">
        <f>F87*(1+$B$54)</f>
        <v>7811.1660000000002</v>
      </c>
      <c r="G88" s="36">
        <f>G87*(1+$B$54)</f>
        <v>6392.6280000000006</v>
      </c>
      <c r="H88" s="36"/>
      <c r="I88" s="36">
        <f>I87*(1+$B$54)</f>
        <v>5398.0079999999998</v>
      </c>
      <c r="J88" s="36"/>
      <c r="K88" s="80"/>
      <c r="L88" s="36"/>
      <c r="M88" s="36">
        <f>M87*(1+$B$54)</f>
        <v>13623.126</v>
      </c>
      <c r="N88" s="205">
        <f t="shared" si="12"/>
        <v>59223.774000000005</v>
      </c>
      <c r="O88" s="55"/>
    </row>
    <row r="89" spans="1:17">
      <c r="A89" s="20" t="s">
        <v>268</v>
      </c>
      <c r="D89" s="36">
        <f>D87*6</f>
        <v>9093.84</v>
      </c>
      <c r="E89" s="56">
        <f>SUM(E87:E88)</f>
        <v>14912.225999999999</v>
      </c>
      <c r="F89" s="56">
        <f>SUM(F87:F88)</f>
        <v>14912.225999999999</v>
      </c>
      <c r="G89" s="56">
        <f>SUM(G87:G88)</f>
        <v>12204.108</v>
      </c>
      <c r="H89" s="56"/>
      <c r="I89" s="56">
        <f>SUM(I87:I88)</f>
        <v>10305.288</v>
      </c>
      <c r="J89" s="56"/>
      <c r="K89" s="82"/>
      <c r="L89" s="56"/>
      <c r="M89" s="56">
        <f>SUM(M87:M88)</f>
        <v>26007.786</v>
      </c>
      <c r="N89" s="205">
        <f>SUM(C89:M89)</f>
        <v>87435.474000000002</v>
      </c>
      <c r="O89" s="55"/>
    </row>
    <row r="90" spans="1:17" ht="13">
      <c r="A90" s="20" t="s">
        <v>103</v>
      </c>
      <c r="B90" s="39">
        <v>0.1</v>
      </c>
      <c r="D90" s="36">
        <f>D89*(1+$B$54)</f>
        <v>10003.224</v>
      </c>
      <c r="E90" s="36"/>
      <c r="F90" s="36"/>
      <c r="G90" s="36"/>
      <c r="H90" s="36"/>
      <c r="I90" s="36"/>
      <c r="J90" s="36"/>
      <c r="K90" s="80"/>
      <c r="L90" s="36"/>
      <c r="M90" s="36"/>
      <c r="N90" s="180"/>
      <c r="O90"/>
      <c r="P90"/>
    </row>
    <row r="91" spans="1:17" ht="13">
      <c r="A91" s="19" t="s">
        <v>104</v>
      </c>
      <c r="D91" s="56">
        <f>SUM(D89:D90)</f>
        <v>19097.063999999998</v>
      </c>
      <c r="E91" s="36">
        <f>E83*$B$93</f>
        <v>946.80799999999999</v>
      </c>
      <c r="F91" s="36">
        <f>F83*$B$93</f>
        <v>946.80799999999999</v>
      </c>
      <c r="G91" s="36">
        <f>G83*$B$93</f>
        <v>541.976</v>
      </c>
      <c r="H91" s="36"/>
      <c r="I91" s="36">
        <f>I83*$B$93</f>
        <v>654.30400000000009</v>
      </c>
      <c r="J91" s="36"/>
      <c r="K91" s="80"/>
      <c r="L91" s="36"/>
      <c r="M91" s="36">
        <f>M83*$B$93</f>
        <v>946.80799999999999</v>
      </c>
      <c r="N91" s="205">
        <f t="shared" ref="N91:N97" si="13">SUM(C91:M91)</f>
        <v>23133.768</v>
      </c>
      <c r="O91"/>
      <c r="P91"/>
    </row>
    <row r="92" spans="1:17" ht="13">
      <c r="A92" s="51" t="s">
        <v>269</v>
      </c>
      <c r="D92" s="36"/>
      <c r="E92" s="36"/>
      <c r="F92" s="36"/>
      <c r="G92" s="36">
        <f>G84*$B$94</f>
        <v>145.55500000000001</v>
      </c>
      <c r="H92" s="36"/>
      <c r="I92" s="36">
        <f>I84*$B$94</f>
        <v>0</v>
      </c>
      <c r="J92" s="36"/>
      <c r="K92" s="80"/>
      <c r="L92" s="36"/>
      <c r="M92" s="36">
        <f>M84*$B$94</f>
        <v>440.30000000000007</v>
      </c>
      <c r="N92" s="205">
        <f t="shared" si="13"/>
        <v>585.85500000000002</v>
      </c>
      <c r="O92"/>
      <c r="P92"/>
    </row>
    <row r="93" spans="1:17" ht="13">
      <c r="A93" s="20" t="s">
        <v>270</v>
      </c>
      <c r="B93" s="39">
        <v>0.8</v>
      </c>
      <c r="D93" s="36">
        <f>D85*$B$93</f>
        <v>701.48</v>
      </c>
      <c r="E93" s="80">
        <f>SUM(E91:E92)</f>
        <v>946.80799999999999</v>
      </c>
      <c r="F93" s="80">
        <f>SUM(F91:F92)</f>
        <v>946.80799999999999</v>
      </c>
      <c r="G93" s="80">
        <f>SUM(G91:G92)</f>
        <v>687.53099999999995</v>
      </c>
      <c r="H93" s="80"/>
      <c r="I93" s="80">
        <f>SUM(I91:I92)</f>
        <v>654.30400000000009</v>
      </c>
      <c r="J93" s="80"/>
      <c r="K93" s="80"/>
      <c r="L93" s="80">
        <v>0</v>
      </c>
      <c r="M93" s="80">
        <f>SUM(M91:M92)</f>
        <v>1387.1080000000002</v>
      </c>
      <c r="N93" s="205">
        <f t="shared" si="13"/>
        <v>5324.0390000000007</v>
      </c>
      <c r="O93"/>
      <c r="P93"/>
    </row>
    <row r="94" spans="1:17" ht="13">
      <c r="A94" s="20" t="s">
        <v>271</v>
      </c>
      <c r="B94" s="39">
        <v>0.5</v>
      </c>
      <c r="D94" s="36">
        <f>D86*$B$94</f>
        <v>319.39499999999998</v>
      </c>
      <c r="E94" s="36">
        <f>E93*12</f>
        <v>11361.696</v>
      </c>
      <c r="F94" s="36">
        <f>F93*12</f>
        <v>11361.696</v>
      </c>
      <c r="G94" s="36">
        <f>G93*12</f>
        <v>8250.3719999999994</v>
      </c>
      <c r="H94" s="36"/>
      <c r="I94" s="36">
        <f>I93*12</f>
        <v>7851.648000000001</v>
      </c>
      <c r="J94" s="36"/>
      <c r="K94" s="80"/>
      <c r="L94" s="36"/>
      <c r="M94" s="36">
        <f>M93*12</f>
        <v>16645.296000000002</v>
      </c>
      <c r="N94" s="205">
        <f t="shared" si="13"/>
        <v>55790.103000000003</v>
      </c>
      <c r="O94"/>
      <c r="P94"/>
    </row>
    <row r="95" spans="1:17">
      <c r="A95" s="19" t="s">
        <v>266</v>
      </c>
      <c r="D95" s="36">
        <f>SUM(D93:D94)</f>
        <v>1020.875</v>
      </c>
      <c r="E95" s="36">
        <f>E94/2</f>
        <v>5680.848</v>
      </c>
      <c r="F95" s="36">
        <f>F94/2</f>
        <v>5680.848</v>
      </c>
      <c r="G95" s="36">
        <f>G94/2</f>
        <v>4125.1859999999997</v>
      </c>
      <c r="H95" s="36"/>
      <c r="I95" s="36">
        <f>I94/2</f>
        <v>3925.8240000000005</v>
      </c>
      <c r="J95" s="36"/>
      <c r="K95" s="80"/>
      <c r="L95" s="36"/>
      <c r="M95" s="36">
        <f>M94/2</f>
        <v>8322.648000000001</v>
      </c>
      <c r="N95" s="205">
        <f t="shared" si="13"/>
        <v>28756.228999999999</v>
      </c>
    </row>
    <row r="96" spans="1:17">
      <c r="A96" s="20" t="s">
        <v>267</v>
      </c>
      <c r="D96" s="36">
        <f>D95*12</f>
        <v>12250.5</v>
      </c>
      <c r="E96" s="36">
        <f>E95*(1+$B$54)</f>
        <v>6248.9328000000005</v>
      </c>
      <c r="F96" s="36">
        <f>F95*(1+$B$54)</f>
        <v>6248.9328000000005</v>
      </c>
      <c r="G96" s="36">
        <f>G95*(1+$B$54)</f>
        <v>4537.7046</v>
      </c>
      <c r="H96" s="36"/>
      <c r="I96" s="36">
        <f>I95*(1+$B$54)</f>
        <v>4318.4064000000008</v>
      </c>
      <c r="J96" s="36"/>
      <c r="K96" s="80"/>
      <c r="L96" s="36"/>
      <c r="M96" s="36">
        <f>M95*(1+$B$54)</f>
        <v>9154.9128000000019</v>
      </c>
      <c r="N96" s="205">
        <f t="shared" si="13"/>
        <v>42759.389400000015</v>
      </c>
    </row>
    <row r="97" spans="1:16" ht="13">
      <c r="A97" s="20" t="s">
        <v>268</v>
      </c>
      <c r="C97"/>
      <c r="D97" s="36">
        <f>D96/2</f>
        <v>6125.25</v>
      </c>
      <c r="E97" s="56">
        <f>SUM(E95:E96)</f>
        <v>11929.7808</v>
      </c>
      <c r="F97" s="56">
        <f>SUM(F95:F96)</f>
        <v>11929.7808</v>
      </c>
      <c r="G97" s="56">
        <f>SUM(G95:G96)</f>
        <v>8662.8905999999988</v>
      </c>
      <c r="H97" s="36"/>
      <c r="I97" s="56">
        <f>SUM(I95:I96)</f>
        <v>8244.2304000000004</v>
      </c>
      <c r="J97" s="56"/>
      <c r="K97" s="80"/>
      <c r="L97" s="36"/>
      <c r="M97" s="56">
        <f>SUM(M95:M96)</f>
        <v>17477.560800000003</v>
      </c>
      <c r="N97" s="205">
        <f t="shared" si="13"/>
        <v>64369.493400000007</v>
      </c>
      <c r="O97" s="36"/>
    </row>
    <row r="98" spans="1:16">
      <c r="A98" s="20" t="s">
        <v>272</v>
      </c>
      <c r="B98" s="39">
        <f>B54</f>
        <v>0.1</v>
      </c>
      <c r="D98" s="36">
        <f>D97*(1+$B$54)</f>
        <v>6737.7750000000005</v>
      </c>
      <c r="E98" s="36"/>
      <c r="F98" s="36"/>
      <c r="G98" s="36"/>
      <c r="H98" s="36"/>
      <c r="I98" s="36"/>
      <c r="J98" s="36"/>
      <c r="K98" s="80"/>
      <c r="L98" s="36"/>
      <c r="M98" s="36"/>
      <c r="N98" s="180"/>
    </row>
    <row r="99" spans="1:16">
      <c r="A99" s="19" t="s">
        <v>105</v>
      </c>
      <c r="D99" s="56">
        <f>SUM(D97:D98)</f>
        <v>12863.025000000001</v>
      </c>
      <c r="E99" s="36">
        <f>E83-E91</f>
        <v>236.702</v>
      </c>
      <c r="F99" s="36">
        <f>F83-F91</f>
        <v>236.702</v>
      </c>
      <c r="G99" s="36">
        <f>G83-G91</f>
        <v>135.49400000000003</v>
      </c>
      <c r="H99" s="36"/>
      <c r="I99" s="36">
        <f>I83-I91</f>
        <v>163.57599999999991</v>
      </c>
      <c r="J99" s="36"/>
      <c r="K99" s="80"/>
      <c r="L99" s="36"/>
      <c r="M99" s="36">
        <f>M83-M91</f>
        <v>236.702</v>
      </c>
      <c r="N99" s="205">
        <f t="shared" ref="N99:N106" si="14">SUM(C99:M99)</f>
        <v>13872.200999999999</v>
      </c>
    </row>
    <row r="100" spans="1:16">
      <c r="A100" s="19" t="s">
        <v>273</v>
      </c>
      <c r="B100" s="27"/>
      <c r="D100" s="36"/>
      <c r="E100" s="36"/>
      <c r="F100" s="36"/>
      <c r="G100" s="36">
        <f>G92</f>
        <v>145.55500000000001</v>
      </c>
      <c r="H100" s="36"/>
      <c r="I100" s="36">
        <f>I92</f>
        <v>0</v>
      </c>
      <c r="J100" s="36"/>
      <c r="K100" s="80"/>
      <c r="L100" s="36"/>
      <c r="M100" s="36">
        <f>M92</f>
        <v>440.30000000000007</v>
      </c>
      <c r="N100" s="205">
        <f t="shared" si="14"/>
        <v>585.85500000000002</v>
      </c>
      <c r="O100" s="48"/>
      <c r="P100" s="48"/>
    </row>
    <row r="101" spans="1:16">
      <c r="A101" s="20" t="s">
        <v>270</v>
      </c>
      <c r="B101" s="39">
        <v>0.2</v>
      </c>
      <c r="D101" s="36">
        <f>D85-D93</f>
        <v>175.37</v>
      </c>
      <c r="E101" s="36">
        <f>SUM(E99:E100)</f>
        <v>236.702</v>
      </c>
      <c r="F101" s="80">
        <f>SUM(F99:F100)</f>
        <v>236.702</v>
      </c>
      <c r="G101" s="36">
        <f>SUM(G99:G100)</f>
        <v>281.04900000000004</v>
      </c>
      <c r="H101" s="36"/>
      <c r="I101" s="36">
        <f>SUM(I99:I100)</f>
        <v>163.57599999999991</v>
      </c>
      <c r="J101" s="36"/>
      <c r="K101" s="80"/>
      <c r="L101" s="36">
        <v>0</v>
      </c>
      <c r="M101" s="36">
        <f>SUM(M99:M100)</f>
        <v>677.00200000000007</v>
      </c>
      <c r="N101" s="205">
        <f t="shared" si="14"/>
        <v>1770.4009999999998</v>
      </c>
    </row>
    <row r="102" spans="1:16">
      <c r="A102" s="20" t="s">
        <v>271</v>
      </c>
      <c r="B102" s="39">
        <v>0.5</v>
      </c>
      <c r="D102" s="36">
        <f>D94</f>
        <v>319.39499999999998</v>
      </c>
      <c r="E102" s="36">
        <f>E101/2</f>
        <v>118.351</v>
      </c>
      <c r="F102" s="36">
        <f>F101/2</f>
        <v>118.351</v>
      </c>
      <c r="G102" s="36">
        <f>G101/2</f>
        <v>140.52450000000002</v>
      </c>
      <c r="H102" s="36"/>
      <c r="I102" s="36">
        <f>I101/2</f>
        <v>81.787999999999954</v>
      </c>
      <c r="J102" s="36"/>
      <c r="K102" s="80"/>
      <c r="L102" s="36"/>
      <c r="M102" s="36">
        <f>M101/2</f>
        <v>338.50100000000003</v>
      </c>
      <c r="N102" s="205">
        <f t="shared" si="14"/>
        <v>1116.9105</v>
      </c>
    </row>
    <row r="103" spans="1:16">
      <c r="A103" s="19" t="s">
        <v>266</v>
      </c>
      <c r="D103" s="36">
        <f>SUM(D101:D102)</f>
        <v>494.76499999999999</v>
      </c>
      <c r="E103" s="36">
        <f>E101*12</f>
        <v>2840.424</v>
      </c>
      <c r="F103" s="36">
        <f>F101*12</f>
        <v>2840.424</v>
      </c>
      <c r="G103" s="36">
        <f>G101*12</f>
        <v>3372.5880000000006</v>
      </c>
      <c r="I103" s="36">
        <f>I101*12</f>
        <v>1962.9119999999989</v>
      </c>
      <c r="J103" s="36"/>
      <c r="M103" s="36">
        <f>M101*12</f>
        <v>8124.0240000000013</v>
      </c>
      <c r="N103" s="205">
        <f t="shared" si="14"/>
        <v>19635.137000000002</v>
      </c>
    </row>
    <row r="104" spans="1:16">
      <c r="A104" s="19" t="s">
        <v>274</v>
      </c>
      <c r="D104" s="36">
        <f>D103/2</f>
        <v>247.38249999999999</v>
      </c>
      <c r="E104" s="36">
        <f>E103/2</f>
        <v>1420.212</v>
      </c>
      <c r="F104" s="36">
        <f>F103/2</f>
        <v>1420.212</v>
      </c>
      <c r="G104" s="36">
        <f>G103/2</f>
        <v>1686.2940000000003</v>
      </c>
      <c r="I104" s="36">
        <f>I103/2</f>
        <v>981.45599999999945</v>
      </c>
      <c r="J104" s="36"/>
      <c r="M104" s="36">
        <f>M103/2</f>
        <v>4062.0120000000006</v>
      </c>
      <c r="N104" s="205">
        <f t="shared" si="14"/>
        <v>9817.5685000000012</v>
      </c>
    </row>
    <row r="105" spans="1:16">
      <c r="A105" s="20" t="s">
        <v>267</v>
      </c>
      <c r="D105" s="36">
        <f>D103*12</f>
        <v>5937.18</v>
      </c>
      <c r="E105" s="36">
        <f>E104*(1+$B$54)</f>
        <v>1562.2332000000001</v>
      </c>
      <c r="F105" s="36">
        <f>F104*(1+$B$54)</f>
        <v>1562.2332000000001</v>
      </c>
      <c r="G105" s="36">
        <f>G104*(1+$B$54)</f>
        <v>1854.9234000000006</v>
      </c>
      <c r="I105" s="36">
        <f>I104*(1+$B$54)</f>
        <v>1079.6015999999995</v>
      </c>
      <c r="J105" s="36"/>
      <c r="M105" s="36">
        <f>M104*(1+$B$54)</f>
        <v>4468.2132000000011</v>
      </c>
      <c r="N105" s="205">
        <f t="shared" si="14"/>
        <v>16464.384600000001</v>
      </c>
    </row>
    <row r="106" spans="1:16">
      <c r="A106" s="20" t="s">
        <v>268</v>
      </c>
      <c r="D106" s="36">
        <f>D105/2</f>
        <v>2968.59</v>
      </c>
      <c r="E106" s="56">
        <f>SUM(E104:E105)</f>
        <v>2982.4452000000001</v>
      </c>
      <c r="F106" s="56">
        <f>SUM(F104:F105)</f>
        <v>2982.4452000000001</v>
      </c>
      <c r="G106" s="56">
        <f>SUM(G104:G105)</f>
        <v>3541.2174000000009</v>
      </c>
      <c r="I106" s="56">
        <f>SUM(I104:I105)</f>
        <v>2061.0575999999992</v>
      </c>
      <c r="J106" s="56"/>
      <c r="M106" s="56">
        <f>SUM(M104:M105)</f>
        <v>8530.2252000000008</v>
      </c>
      <c r="N106" s="205">
        <f t="shared" si="14"/>
        <v>23065.980600000003</v>
      </c>
    </row>
    <row r="107" spans="1:16">
      <c r="A107" s="20" t="s">
        <v>272</v>
      </c>
      <c r="B107" s="39">
        <f>B54</f>
        <v>0.1</v>
      </c>
      <c r="D107" s="36">
        <f>D106*(1+$B$54)</f>
        <v>3265.4490000000005</v>
      </c>
      <c r="N107" s="205"/>
    </row>
    <row r="108" spans="1:16">
      <c r="A108" s="19" t="str">
        <f>A99</f>
        <v>FYE 6/30/2015</v>
      </c>
      <c r="D108" s="56">
        <f>SUM(D106:D107)</f>
        <v>6234.0390000000007</v>
      </c>
      <c r="N108" s="205"/>
    </row>
    <row r="109" spans="1:16">
      <c r="B109" s="37"/>
      <c r="C109" s="37"/>
      <c r="D109" s="20"/>
      <c r="N109" s="205"/>
    </row>
    <row r="110" spans="1:16">
      <c r="B110" s="37"/>
      <c r="C110" s="37"/>
      <c r="D110" s="20"/>
      <c r="N110" s="205"/>
    </row>
    <row r="111" spans="1:16">
      <c r="B111" s="37"/>
      <c r="C111" s="37"/>
      <c r="D111" s="20"/>
      <c r="N111" s="205"/>
    </row>
    <row r="112" spans="1:16">
      <c r="B112" s="37"/>
      <c r="C112" s="37"/>
      <c r="D112" s="20"/>
      <c r="E112" s="32">
        <f>E101</f>
        <v>236.702</v>
      </c>
      <c r="F112" s="32">
        <f>F101</f>
        <v>236.702</v>
      </c>
      <c r="G112" s="32">
        <f>G101</f>
        <v>281.04900000000004</v>
      </c>
      <c r="H112" s="32">
        <v>0</v>
      </c>
      <c r="I112" s="32">
        <f>I101</f>
        <v>163.57599999999991</v>
      </c>
      <c r="J112" s="32"/>
      <c r="K112" s="81"/>
      <c r="L112" s="32">
        <v>0</v>
      </c>
      <c r="M112" s="32">
        <f>M101</f>
        <v>677.00200000000007</v>
      </c>
      <c r="N112" s="205">
        <f t="shared" ref="N112:N117" si="15">SUM(C112:M112)</f>
        <v>1595.0309999999999</v>
      </c>
    </row>
    <row r="113" spans="1:14">
      <c r="A113" s="46" t="s">
        <v>250</v>
      </c>
      <c r="B113" s="37"/>
      <c r="C113" s="37"/>
      <c r="D113" s="20"/>
      <c r="E113" s="32">
        <f>E112*6</f>
        <v>1420.212</v>
      </c>
      <c r="F113" s="32">
        <f>F112*6</f>
        <v>1420.212</v>
      </c>
      <c r="G113" s="32">
        <f>G112*6</f>
        <v>1686.2940000000003</v>
      </c>
      <c r="H113" s="32"/>
      <c r="I113" s="32">
        <f>I112*6</f>
        <v>981.45599999999945</v>
      </c>
      <c r="J113" s="32"/>
      <c r="K113" s="81"/>
      <c r="L113" s="32"/>
      <c r="M113" s="32">
        <f>M112*6</f>
        <v>4062.0120000000006</v>
      </c>
      <c r="N113" s="205">
        <f t="shared" si="15"/>
        <v>9570.1860000000015</v>
      </c>
    </row>
    <row r="114" spans="1:14">
      <c r="A114" s="20" t="s">
        <v>251</v>
      </c>
      <c r="B114" s="37"/>
      <c r="C114" s="37"/>
      <c r="D114" s="32">
        <f>D103</f>
        <v>494.76499999999999</v>
      </c>
      <c r="E114" s="32">
        <f>E113*(1+$B$54)</f>
        <v>1562.2332000000001</v>
      </c>
      <c r="F114" s="32">
        <f>F113*(1+$B$54)</f>
        <v>1562.2332000000001</v>
      </c>
      <c r="G114" s="32">
        <f>G113*(1+$B$54)</f>
        <v>1854.9234000000006</v>
      </c>
      <c r="H114" s="32"/>
      <c r="I114" s="32">
        <f>I113*(1+$B$54)</f>
        <v>1079.6015999999995</v>
      </c>
      <c r="J114" s="32"/>
      <c r="K114" s="81"/>
      <c r="L114" s="32"/>
      <c r="M114" s="32">
        <f>M113*(1+$B$54)</f>
        <v>4468.2132000000011</v>
      </c>
      <c r="N114" s="205">
        <f t="shared" si="15"/>
        <v>11021.9696</v>
      </c>
    </row>
    <row r="115" spans="1:14">
      <c r="A115" s="40" t="s">
        <v>252</v>
      </c>
      <c r="B115" s="37"/>
      <c r="C115" s="37"/>
      <c r="D115" s="32">
        <f>D114*6</f>
        <v>2968.59</v>
      </c>
      <c r="E115" s="57">
        <f>SUM(E113:E114)</f>
        <v>2982.4452000000001</v>
      </c>
      <c r="F115" s="57">
        <f>SUM(F113:F114)</f>
        <v>2982.4452000000001</v>
      </c>
      <c r="G115" s="57">
        <f>SUM(G113:G114)</f>
        <v>3541.2174000000009</v>
      </c>
      <c r="H115" s="32"/>
      <c r="I115" s="57">
        <f>SUM(I113:I114)</f>
        <v>2061.0575999999992</v>
      </c>
      <c r="J115" s="57"/>
      <c r="K115" s="81"/>
      <c r="L115" s="32"/>
      <c r="M115" s="57">
        <f>SUM(M113:M114)</f>
        <v>8530.2252000000008</v>
      </c>
      <c r="N115" s="205">
        <f t="shared" si="15"/>
        <v>23065.980600000003</v>
      </c>
    </row>
    <row r="116" spans="1:14">
      <c r="A116" s="40" t="s">
        <v>189</v>
      </c>
      <c r="B116" s="37"/>
      <c r="C116" s="37"/>
      <c r="D116" s="32">
        <f>D115*(1+$B$54)</f>
        <v>3265.4490000000005</v>
      </c>
      <c r="E116" s="32">
        <f>E132</f>
        <v>0</v>
      </c>
      <c r="F116" s="32">
        <f>F132</f>
        <v>0</v>
      </c>
      <c r="G116" s="32">
        <f>G132</f>
        <v>852</v>
      </c>
      <c r="H116" s="32"/>
      <c r="I116" s="32">
        <f>I132</f>
        <v>0</v>
      </c>
      <c r="J116" s="32"/>
      <c r="K116" s="81"/>
      <c r="L116" s="32"/>
      <c r="M116" s="32">
        <f>M132</f>
        <v>852</v>
      </c>
      <c r="N116" s="205">
        <f t="shared" si="15"/>
        <v>4969.4490000000005</v>
      </c>
    </row>
    <row r="117" spans="1:14">
      <c r="A117" s="43" t="s">
        <v>253</v>
      </c>
      <c r="B117" s="37"/>
      <c r="C117" s="37"/>
      <c r="D117" s="57">
        <f>SUM(D115:D116)</f>
        <v>6234.0390000000007</v>
      </c>
      <c r="E117" s="58">
        <f t="shared" ref="E117:M117" si="16">SUM(E115:E116)</f>
        <v>2982.4452000000001</v>
      </c>
      <c r="F117" s="58">
        <f t="shared" si="16"/>
        <v>2982.4452000000001</v>
      </c>
      <c r="G117" s="58">
        <f t="shared" si="16"/>
        <v>4393.2174000000014</v>
      </c>
      <c r="H117" s="58">
        <f t="shared" si="16"/>
        <v>0</v>
      </c>
      <c r="I117" s="58">
        <f t="shared" si="16"/>
        <v>2061.0575999999992</v>
      </c>
      <c r="J117" s="58"/>
      <c r="K117" s="83"/>
      <c r="L117" s="58">
        <f t="shared" si="16"/>
        <v>0</v>
      </c>
      <c r="M117" s="58">
        <f t="shared" si="16"/>
        <v>9382.2252000000008</v>
      </c>
      <c r="N117" s="205">
        <f t="shared" si="15"/>
        <v>28035.429600000003</v>
      </c>
    </row>
    <row r="118" spans="1:14">
      <c r="A118" s="44" t="s">
        <v>246</v>
      </c>
      <c r="B118" s="37"/>
      <c r="C118" s="37"/>
      <c r="D118" s="32">
        <f>D134</f>
        <v>0</v>
      </c>
      <c r="E118" s="32"/>
      <c r="F118" s="32"/>
      <c r="G118" s="32"/>
      <c r="H118" s="32"/>
      <c r="I118" s="32"/>
      <c r="J118" s="32"/>
      <c r="K118" s="81"/>
      <c r="L118" s="32"/>
      <c r="M118" s="32"/>
      <c r="N118" s="206"/>
    </row>
    <row r="119" spans="1:14">
      <c r="A119" s="49" t="s">
        <v>247</v>
      </c>
      <c r="B119" s="37"/>
      <c r="C119" s="37"/>
      <c r="D119" s="58">
        <f>SUM(D117:D118)</f>
        <v>6234.0390000000007</v>
      </c>
      <c r="E119" s="32"/>
      <c r="F119" s="32"/>
      <c r="G119" s="32"/>
      <c r="H119" s="32"/>
      <c r="I119" s="32"/>
      <c r="J119" s="32"/>
      <c r="K119" s="81"/>
      <c r="L119" s="32"/>
      <c r="M119" s="32"/>
      <c r="N119" s="206"/>
    </row>
    <row r="120" spans="1:14">
      <c r="B120" s="37"/>
      <c r="C120" s="37"/>
      <c r="D120" s="32"/>
      <c r="E120" s="32">
        <v>49.75</v>
      </c>
      <c r="F120" s="32">
        <v>49.75</v>
      </c>
      <c r="G120" s="32">
        <v>49.75</v>
      </c>
      <c r="H120" s="32"/>
      <c r="I120" s="32">
        <v>49.75</v>
      </c>
      <c r="J120" s="32"/>
      <c r="K120" s="81"/>
      <c r="L120" s="32">
        <v>49.75</v>
      </c>
      <c r="M120" s="32">
        <v>49.75</v>
      </c>
      <c r="N120" s="205">
        <f>SUM(C120:M120)</f>
        <v>298.5</v>
      </c>
    </row>
    <row r="121" spans="1:14" ht="13">
      <c r="A121" s="19" t="s">
        <v>72</v>
      </c>
      <c r="B121"/>
      <c r="C121" s="37"/>
      <c r="D121" s="32"/>
      <c r="G121" s="32">
        <v>71</v>
      </c>
      <c r="J121" s="32"/>
      <c r="L121"/>
      <c r="M121" s="32">
        <v>71</v>
      </c>
      <c r="N121" s="205">
        <f>SUM(C121:M121)</f>
        <v>142</v>
      </c>
    </row>
    <row r="122" spans="1:14">
      <c r="A122" s="20" t="s">
        <v>248</v>
      </c>
      <c r="B122" s="59">
        <v>1</v>
      </c>
      <c r="C122" s="37"/>
      <c r="D122" s="32">
        <v>49.75</v>
      </c>
      <c r="E122" s="32">
        <f>SUM(E120:E121)</f>
        <v>49.75</v>
      </c>
      <c r="F122" s="32">
        <f>SUM(F120:F121)</f>
        <v>49.75</v>
      </c>
      <c r="G122" s="32">
        <f>SUM(G120:G121)</f>
        <v>120.75</v>
      </c>
      <c r="I122" s="32">
        <f>SUM(I120:I121)</f>
        <v>49.75</v>
      </c>
      <c r="J122" s="32"/>
      <c r="L122" s="32">
        <f>SUM(L120:L121)</f>
        <v>49.75</v>
      </c>
      <c r="M122" s="32">
        <f>SUM(M120:M121)</f>
        <v>120.75</v>
      </c>
      <c r="N122" s="205">
        <f>SUM(C122:M122)</f>
        <v>490.25</v>
      </c>
    </row>
    <row r="123" spans="1:14">
      <c r="A123" s="20" t="s">
        <v>331</v>
      </c>
      <c r="B123" s="59">
        <v>1</v>
      </c>
      <c r="C123" s="37"/>
      <c r="D123" s="32"/>
      <c r="G123" s="32"/>
      <c r="J123" s="32"/>
      <c r="M123" s="32"/>
      <c r="N123" s="205"/>
    </row>
    <row r="124" spans="1:14">
      <c r="A124" s="20" t="s">
        <v>247</v>
      </c>
      <c r="B124" s="59"/>
      <c r="C124" s="37"/>
      <c r="D124" s="32">
        <f>SUM(D122:D123)</f>
        <v>49.75</v>
      </c>
      <c r="E124" s="32">
        <f t="shared" ref="D124:G127" si="17">E120*6</f>
        <v>298.5</v>
      </c>
      <c r="F124" s="32">
        <f t="shared" si="17"/>
        <v>298.5</v>
      </c>
      <c r="G124" s="32">
        <f t="shared" si="17"/>
        <v>298.5</v>
      </c>
      <c r="I124" s="32">
        <f>I120*6</f>
        <v>298.5</v>
      </c>
      <c r="J124" s="32"/>
      <c r="L124" s="32">
        <f>L120*6</f>
        <v>298.5</v>
      </c>
      <c r="M124" s="32">
        <v>298.5</v>
      </c>
      <c r="N124" s="205">
        <f>SUM(C124:M124)</f>
        <v>1840.75</v>
      </c>
    </row>
    <row r="125" spans="1:14">
      <c r="A125" s="19" t="s">
        <v>75</v>
      </c>
      <c r="B125" s="59"/>
      <c r="C125" s="37"/>
      <c r="D125" s="20"/>
      <c r="E125" s="32">
        <f t="shared" si="17"/>
        <v>0</v>
      </c>
      <c r="F125" s="32">
        <f t="shared" si="17"/>
        <v>0</v>
      </c>
      <c r="G125" s="32">
        <f t="shared" si="17"/>
        <v>426</v>
      </c>
      <c r="H125" s="25"/>
      <c r="I125" s="32">
        <f>I121*6</f>
        <v>0</v>
      </c>
      <c r="J125" s="32"/>
      <c r="K125" s="77"/>
      <c r="L125" s="32">
        <f>L121*3</f>
        <v>0</v>
      </c>
      <c r="M125" s="32">
        <f>M121*6</f>
        <v>426</v>
      </c>
      <c r="N125" s="205">
        <f>SUM(C125:M125)</f>
        <v>852</v>
      </c>
    </row>
    <row r="126" spans="1:14" ht="13">
      <c r="A126" s="20" t="s">
        <v>76</v>
      </c>
      <c r="C126"/>
      <c r="D126" s="32">
        <f t="shared" si="17"/>
        <v>298.5</v>
      </c>
      <c r="E126" s="32"/>
      <c r="F126" s="32"/>
      <c r="G126" s="32"/>
      <c r="H126" s="25"/>
      <c r="I126" s="32"/>
      <c r="J126" s="32"/>
      <c r="K126" s="77"/>
      <c r="L126" s="32"/>
      <c r="M126" s="32">
        <f>M121/2</f>
        <v>35.5</v>
      </c>
      <c r="N126" s="205">
        <f>SUM(C126:M126)</f>
        <v>334</v>
      </c>
    </row>
    <row r="127" spans="1:14" ht="13">
      <c r="A127" s="20" t="s">
        <v>77</v>
      </c>
      <c r="C127"/>
      <c r="D127" s="32">
        <f t="shared" si="17"/>
        <v>0</v>
      </c>
      <c r="E127" s="25"/>
      <c r="F127" s="25"/>
      <c r="G127" s="25"/>
      <c r="H127" s="25"/>
      <c r="I127" s="25"/>
      <c r="J127" s="25"/>
      <c r="K127" s="77"/>
      <c r="L127" s="25"/>
      <c r="M127" s="25"/>
      <c r="N127" s="205">
        <f>SUM(D127:M127)-D129</f>
        <v>0</v>
      </c>
    </row>
    <row r="128" spans="1:14" ht="13">
      <c r="A128" s="19" t="s">
        <v>332</v>
      </c>
      <c r="C128"/>
      <c r="D128" s="32"/>
      <c r="E128" s="32">
        <f t="shared" ref="E128:G129" si="18">E120*(1+$B$55)*6</f>
        <v>298.5</v>
      </c>
      <c r="F128" s="32">
        <f t="shared" si="18"/>
        <v>298.5</v>
      </c>
      <c r="G128" s="32">
        <f t="shared" si="18"/>
        <v>298.5</v>
      </c>
      <c r="H128" s="25"/>
      <c r="I128" s="32">
        <f>I120*(1+$B$55)*6</f>
        <v>298.5</v>
      </c>
      <c r="J128" s="32"/>
      <c r="K128" s="77"/>
      <c r="L128" s="32">
        <f>L120*(1+$B$55)*6</f>
        <v>298.5</v>
      </c>
      <c r="M128" s="32">
        <f>M120*(1+$B$55)*6</f>
        <v>298.5</v>
      </c>
      <c r="N128" s="205">
        <f>SUM(C128:M128)</f>
        <v>1791</v>
      </c>
    </row>
    <row r="129" spans="1:15" ht="13">
      <c r="A129" s="19" t="s">
        <v>78</v>
      </c>
      <c r="B129" s="39">
        <f>$B$55</f>
        <v>0</v>
      </c>
      <c r="C129"/>
      <c r="D129" s="25"/>
      <c r="E129" s="32">
        <f t="shared" si="18"/>
        <v>0</v>
      </c>
      <c r="F129" s="32">
        <f t="shared" si="18"/>
        <v>0</v>
      </c>
      <c r="G129" s="32">
        <f t="shared" si="18"/>
        <v>426</v>
      </c>
      <c r="H129" s="25"/>
      <c r="I129" s="32">
        <f>I121*(1+$B$55)*6</f>
        <v>0</v>
      </c>
      <c r="J129" s="32"/>
      <c r="K129" s="77"/>
      <c r="L129" s="32">
        <f>L121*(1+$B$55)*6</f>
        <v>0</v>
      </c>
      <c r="M129" s="32">
        <f>M121*(1+$B$55)*6</f>
        <v>426</v>
      </c>
      <c r="N129" s="205">
        <f>SUM(C129:M129)</f>
        <v>852</v>
      </c>
    </row>
    <row r="130" spans="1:15" ht="13">
      <c r="A130" s="20" t="s">
        <v>333</v>
      </c>
      <c r="B130" s="38"/>
      <c r="C130"/>
      <c r="D130" s="32">
        <f>D122*(1+$B$55)*6</f>
        <v>298.5</v>
      </c>
      <c r="E130" s="32"/>
      <c r="F130" s="32"/>
      <c r="G130" s="32"/>
      <c r="H130" s="25"/>
      <c r="I130" s="32"/>
      <c r="J130" s="32"/>
      <c r="K130" s="77"/>
      <c r="L130" s="32"/>
      <c r="M130" s="32"/>
      <c r="N130" s="205"/>
    </row>
    <row r="131" spans="1:15" ht="13">
      <c r="A131" s="20" t="s">
        <v>276</v>
      </c>
      <c r="C131"/>
      <c r="D131" s="32">
        <f>D123*(1+$B$55)*6</f>
        <v>0</v>
      </c>
      <c r="E131" s="32">
        <f>E124+E128</f>
        <v>597</v>
      </c>
      <c r="F131" s="32">
        <f>F124+F128</f>
        <v>597</v>
      </c>
      <c r="G131" s="32">
        <f>G124+G128</f>
        <v>597</v>
      </c>
      <c r="H131" s="25"/>
      <c r="I131" s="32">
        <f>I124+I128</f>
        <v>597</v>
      </c>
      <c r="J131" s="32"/>
      <c r="K131" s="77"/>
      <c r="L131" s="32">
        <f>L124+L128</f>
        <v>597</v>
      </c>
      <c r="M131" s="32">
        <f>M124+M128</f>
        <v>597</v>
      </c>
      <c r="N131" s="205">
        <f>SUM(C131:M131)</f>
        <v>3582</v>
      </c>
      <c r="O131" s="32"/>
    </row>
    <row r="132" spans="1:15" ht="13">
      <c r="B132" s="27"/>
      <c r="C132"/>
      <c r="D132" s="32"/>
      <c r="E132" s="32">
        <v>0</v>
      </c>
      <c r="F132" s="32">
        <f>F125+F129</f>
        <v>0</v>
      </c>
      <c r="G132" s="32">
        <f>G125+G129</f>
        <v>852</v>
      </c>
      <c r="H132" s="25"/>
      <c r="I132" s="32">
        <f>I125+I129</f>
        <v>0</v>
      </c>
      <c r="J132" s="32"/>
      <c r="K132" s="77"/>
      <c r="L132" s="32">
        <f>L125+L129</f>
        <v>0</v>
      </c>
      <c r="M132" s="32">
        <f>M125+M129</f>
        <v>852</v>
      </c>
      <c r="N132" s="205">
        <f>SUM(C132:M132)</f>
        <v>1704</v>
      </c>
    </row>
    <row r="133" spans="1:15" ht="13">
      <c r="A133" s="19" t="s">
        <v>100</v>
      </c>
      <c r="B133" s="39"/>
      <c r="C133"/>
      <c r="D133" s="32">
        <f>D126+D130</f>
        <v>597</v>
      </c>
      <c r="N133" s="180"/>
    </row>
    <row r="134" spans="1:15" ht="13">
      <c r="A134" s="19" t="s">
        <v>101</v>
      </c>
      <c r="C134"/>
      <c r="D134" s="32">
        <f>D127+D131</f>
        <v>0</v>
      </c>
      <c r="E134" s="81">
        <v>52.08</v>
      </c>
      <c r="F134" s="81">
        <v>22.88</v>
      </c>
      <c r="G134" s="81">
        <v>25.34</v>
      </c>
      <c r="H134" s="81">
        <v>0</v>
      </c>
      <c r="I134" s="81">
        <v>33.6</v>
      </c>
      <c r="J134" s="81"/>
      <c r="K134" s="81"/>
      <c r="L134" s="81">
        <v>24.9</v>
      </c>
      <c r="M134" s="81">
        <v>18.57</v>
      </c>
      <c r="N134" s="205">
        <f>SUM(C134:M134)</f>
        <v>177.37</v>
      </c>
      <c r="O134" s="32"/>
    </row>
    <row r="135" spans="1:15" ht="13">
      <c r="B135" s="81"/>
      <c r="C135"/>
      <c r="D135" s="20"/>
      <c r="E135" s="81">
        <f>E134*12</f>
        <v>624.96</v>
      </c>
      <c r="F135" s="81">
        <f>F134*12</f>
        <v>274.56</v>
      </c>
      <c r="G135" s="81">
        <f>G134*12</f>
        <v>304.08</v>
      </c>
      <c r="H135" s="81">
        <v>0</v>
      </c>
      <c r="I135" s="81">
        <f>I134*12</f>
        <v>403.20000000000005</v>
      </c>
      <c r="J135" s="81"/>
      <c r="K135" s="81"/>
      <c r="L135" s="81">
        <f>L134*12</f>
        <v>298.79999999999995</v>
      </c>
      <c r="M135" s="81">
        <f>M134*12</f>
        <v>222.84</v>
      </c>
      <c r="N135" s="205">
        <f>SUM(C135:M135)</f>
        <v>2128.44</v>
      </c>
      <c r="O135" s="32"/>
    </row>
    <row r="136" spans="1:15" ht="13">
      <c r="A136" s="20" t="s">
        <v>277</v>
      </c>
      <c r="B136" s="39">
        <v>1</v>
      </c>
      <c r="C136"/>
      <c r="D136" s="192">
        <v>0</v>
      </c>
      <c r="E136" s="74"/>
      <c r="F136" s="74"/>
      <c r="G136" s="74"/>
      <c r="H136" s="74"/>
      <c r="I136" s="74"/>
      <c r="J136" s="74"/>
      <c r="L136" s="74"/>
      <c r="M136" s="74"/>
      <c r="N136" s="180"/>
    </row>
    <row r="137" spans="1:15" ht="13">
      <c r="A137" s="20" t="s">
        <v>278</v>
      </c>
      <c r="B137" s="39">
        <v>1</v>
      </c>
      <c r="C137"/>
      <c r="D137" s="32">
        <f>D136*12</f>
        <v>0</v>
      </c>
      <c r="E137" s="81">
        <v>67.81</v>
      </c>
      <c r="F137" s="81">
        <v>45.83</v>
      </c>
      <c r="G137" s="81">
        <v>33</v>
      </c>
      <c r="H137" s="81">
        <v>0</v>
      </c>
      <c r="I137" s="81">
        <v>43.75</v>
      </c>
      <c r="J137" s="81"/>
      <c r="K137" s="81"/>
      <c r="L137" s="81">
        <v>32.42</v>
      </c>
      <c r="M137" s="81">
        <v>24.18</v>
      </c>
      <c r="N137" s="205">
        <f>SUM(C137:M137)</f>
        <v>246.99</v>
      </c>
      <c r="O137" s="32"/>
    </row>
    <row r="138" spans="1:15" ht="13">
      <c r="B138" s="39"/>
      <c r="C138"/>
      <c r="D138" s="20"/>
      <c r="E138" s="81">
        <f>E137*12</f>
        <v>813.72</v>
      </c>
      <c r="F138" s="81">
        <f>F137*12</f>
        <v>549.96</v>
      </c>
      <c r="G138" s="81">
        <f>G137*12</f>
        <v>396</v>
      </c>
      <c r="H138" s="81">
        <v>0</v>
      </c>
      <c r="I138" s="81">
        <f>I137*12</f>
        <v>525</v>
      </c>
      <c r="J138" s="81"/>
      <c r="K138" s="81"/>
      <c r="L138" s="81">
        <f>L137*12</f>
        <v>389.04</v>
      </c>
      <c r="M138" s="81">
        <f>M137*12</f>
        <v>290.15999999999997</v>
      </c>
      <c r="N138" s="205">
        <f>SUM(C138:M138)</f>
        <v>2963.88</v>
      </c>
      <c r="O138" s="32"/>
    </row>
    <row r="139" spans="1:15" ht="13">
      <c r="A139" s="20" t="s">
        <v>150</v>
      </c>
      <c r="B139" s="39">
        <v>1</v>
      </c>
      <c r="C139"/>
      <c r="D139" s="32">
        <v>90</v>
      </c>
      <c r="E139" s="74"/>
      <c r="F139" s="74"/>
      <c r="G139" s="74"/>
      <c r="H139" s="74"/>
      <c r="I139" s="74"/>
      <c r="J139" s="74"/>
      <c r="L139" s="74"/>
      <c r="M139" s="74"/>
      <c r="N139" s="180"/>
    </row>
    <row r="140" spans="1:15">
      <c r="A140" s="20" t="s">
        <v>151</v>
      </c>
      <c r="B140" s="39">
        <v>1</v>
      </c>
      <c r="D140" s="32">
        <f>D139*12</f>
        <v>1080</v>
      </c>
      <c r="N140" s="205"/>
    </row>
    <row r="141" spans="1:15">
      <c r="E141" s="37">
        <v>7373.48</v>
      </c>
      <c r="F141" s="37">
        <v>4675</v>
      </c>
      <c r="G141" s="160">
        <v>3600</v>
      </c>
      <c r="H141" s="37">
        <v>1360.08</v>
      </c>
      <c r="I141" s="37">
        <v>4462.5</v>
      </c>
      <c r="J141" s="37"/>
      <c r="K141" s="76"/>
      <c r="L141" s="37">
        <v>5639.62</v>
      </c>
      <c r="M141" s="37">
        <v>1679.6</v>
      </c>
      <c r="N141" s="205"/>
    </row>
    <row r="142" spans="1:15" ht="13">
      <c r="A142"/>
      <c r="B142"/>
      <c r="E142" s="180">
        <f>E141*12</f>
        <v>88481.76</v>
      </c>
      <c r="F142" s="180">
        <f t="shared" ref="F142:M142" si="19">F141*12</f>
        <v>56100</v>
      </c>
      <c r="G142" s="180">
        <f t="shared" si="19"/>
        <v>43200</v>
      </c>
      <c r="H142" s="180">
        <f t="shared" si="19"/>
        <v>16320.96</v>
      </c>
      <c r="I142" s="180">
        <f t="shared" si="19"/>
        <v>53550</v>
      </c>
      <c r="J142" s="180">
        <f t="shared" si="19"/>
        <v>0</v>
      </c>
      <c r="K142" s="180">
        <f t="shared" si="19"/>
        <v>0</v>
      </c>
      <c r="L142" s="180">
        <f t="shared" si="19"/>
        <v>67675.44</v>
      </c>
      <c r="M142" s="180">
        <f t="shared" si="19"/>
        <v>20155.199999999997</v>
      </c>
      <c r="N142" s="180"/>
      <c r="O142" s="36"/>
    </row>
    <row r="143" spans="1:15" ht="13">
      <c r="A143" s="20" t="s">
        <v>109</v>
      </c>
      <c r="B143"/>
      <c r="E143" s="25"/>
      <c r="F143" s="25"/>
      <c r="G143" s="25"/>
      <c r="H143" s="25"/>
      <c r="I143" s="25"/>
      <c r="J143" s="25"/>
      <c r="K143" s="77"/>
      <c r="L143" s="25"/>
      <c r="M143" s="25"/>
    </row>
    <row r="144" spans="1:15" ht="13">
      <c r="A144" s="204" t="s">
        <v>92</v>
      </c>
      <c r="B144"/>
      <c r="D144" s="178">
        <v>130000</v>
      </c>
      <c r="E144" s="25"/>
      <c r="F144" s="25"/>
      <c r="G144" s="25"/>
      <c r="H144" s="25"/>
      <c r="I144" s="25"/>
      <c r="J144" s="25"/>
      <c r="K144" s="77"/>
      <c r="L144" s="25"/>
      <c r="M144" s="25"/>
    </row>
    <row r="145" spans="4:13">
      <c r="D145" s="77"/>
      <c r="E145" s="25"/>
      <c r="F145" s="25"/>
      <c r="G145" s="25"/>
      <c r="H145" s="25"/>
      <c r="I145" s="25"/>
      <c r="J145" s="25"/>
      <c r="K145" s="77"/>
      <c r="L145" s="25"/>
      <c r="M145" s="25"/>
    </row>
    <row r="146" spans="4:13">
      <c r="D146" s="77"/>
      <c r="E146" s="25"/>
      <c r="F146" s="25"/>
      <c r="G146" s="25"/>
      <c r="H146" s="25"/>
      <c r="I146" s="25"/>
      <c r="J146" s="25"/>
      <c r="K146" s="77"/>
      <c r="L146" s="25"/>
      <c r="M146" s="25"/>
    </row>
    <row r="147" spans="4:13">
      <c r="D147" s="77"/>
    </row>
    <row r="148" spans="4:13">
      <c r="D148" s="77"/>
    </row>
  </sheetData>
  <sheetCalcPr fullCalcOnLoad="1"/>
  <mergeCells count="1">
    <mergeCell ref="M80:N80"/>
  </mergeCells>
  <phoneticPr fontId="6" type="noConversion"/>
  <pageMargins left="0.25" right="0.25" top="0.5" bottom="0.75" header="0" footer="0.5"/>
  <headerFooter alignWithMargins="0">
    <oddFooter>&amp;L&amp;K000000BUDGET 2013 - PAYROLL&amp;R&amp;K000000              
u &amp;D &amp;T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Charts</vt:lpstr>
      <vt:lpstr>Balance Sheet</vt:lpstr>
      <vt:lpstr>P&amp;L</vt:lpstr>
      <vt:lpstr>PAYROLL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Arthur Ulrich</dc:creator>
  <cp:lastModifiedBy>Henry John Mason</cp:lastModifiedBy>
  <cp:lastPrinted>2014-06-14T11:31:11Z</cp:lastPrinted>
  <dcterms:created xsi:type="dcterms:W3CDTF">2011-02-15T03:39:37Z</dcterms:created>
  <dcterms:modified xsi:type="dcterms:W3CDTF">2014-10-21T18:33:32Z</dcterms:modified>
</cp:coreProperties>
</file>